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omments6.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omments7.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omments8.xml" ContentType="application/vnd.openxmlformats-officedocument.spreadsheetml.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24226"/>
  <mc:AlternateContent xmlns:mc="http://schemas.openxmlformats.org/markup-compatibility/2006">
    <mc:Choice Requires="x15">
      <x15ac:absPath xmlns:x15ac="http://schemas.microsoft.com/office/spreadsheetml/2010/11/ac" url="E:\DATA\ICCAT 2017\6 ICCAT BFT data prep meeting\after meeting\"/>
    </mc:Choice>
  </mc:AlternateContent>
  <bookViews>
    <workbookView xWindow="0" yWindow="0" windowWidth="28800" windowHeight="11640" tabRatio="844"/>
  </bookViews>
  <sheets>
    <sheet name="Summary_NewMvector" sheetId="43" r:id="rId1"/>
    <sheet name="SBT" sheetId="55" r:id="rId2"/>
    <sheet name="LorMRichards_SS" sheetId="53" r:id="rId3"/>
    <sheet name="LorMRichards_0.1" sheetId="54" r:id="rId4"/>
    <sheet name="LorMRichards" sheetId="15" r:id="rId5"/>
    <sheet name="LorMRichardsUpper" sheetId="49" r:id="rId6"/>
    <sheet name="LorMRichardsLower" sheetId="50" r:id="rId7"/>
    <sheet name="LorMVB" sheetId="47" r:id="rId8"/>
    <sheet name="LorMRichardsHoenig" sheetId="48" r:id="rId9"/>
    <sheet name="empirical estimators" sheetId="51" r:id="rId10"/>
    <sheet name="VPA Fatage" sheetId="44" r:id="rId11"/>
  </sheets>
  <externalReferences>
    <externalReference r:id="rId12"/>
  </externalReferences>
  <definedNames>
    <definedName name="_xlnm._FilterDatabase" localSheetId="9" hidden="1">'empirical estimators'!$C$40:$K$56</definedName>
    <definedName name="a" localSheetId="4">LorMRichards!$I$1</definedName>
    <definedName name="a" localSheetId="3">LorMRichards_0.1!$I$1</definedName>
    <definedName name="a" localSheetId="2">LorMRichards_SS!$I$1</definedName>
    <definedName name="a" localSheetId="8">LorMRichardsHoenig!$I$1</definedName>
    <definedName name="a" localSheetId="6">LorMRichardsLower!$I$1</definedName>
    <definedName name="a" localSheetId="5">LorMRichardsUpper!$I$1</definedName>
    <definedName name="a" localSheetId="7">LorMVB!$I$1</definedName>
    <definedName name="a">'empirical estimators'!$F$8</definedName>
    <definedName name="A1_" localSheetId="3">LorMRichards_0.1!$B$2</definedName>
    <definedName name="A1_" localSheetId="2">LorMRichards_SS!$B$2</definedName>
    <definedName name="A1_" localSheetId="8">LorMRichardsHoenig!$B$2</definedName>
    <definedName name="A1_" localSheetId="6">LorMRichardsLower!$B$2</definedName>
    <definedName name="A1_" localSheetId="5">LorMRichardsUpper!$B$2</definedName>
    <definedName name="A1_">LorMRichards!$B$2</definedName>
    <definedName name="A2_" localSheetId="3">LorMRichards_0.1!$B$3</definedName>
    <definedName name="A2_" localSheetId="2">LorMRichards_SS!$B$3</definedName>
    <definedName name="A2_" localSheetId="8">LorMRichardsHoenig!$B$3</definedName>
    <definedName name="A2_" localSheetId="6">LorMRichardsLower!$B$3</definedName>
    <definedName name="A2_" localSheetId="5">LorMRichardsUpper!$B$3</definedName>
    <definedName name="A2_">LorMRichards!$B$3</definedName>
    <definedName name="alpha" localSheetId="4">LorMRichards!$E$2</definedName>
    <definedName name="alpha" localSheetId="3">LorMRichards_0.1!$E$2</definedName>
    <definedName name="alpha" localSheetId="2">LorMRichards_SS!$E$2</definedName>
    <definedName name="alpha" localSheetId="8">LorMRichardsHoenig!$E$2</definedName>
    <definedName name="alpha" localSheetId="6">LorMRichardsLower!$E$2</definedName>
    <definedName name="alpha" localSheetId="5">LorMRichardsUpper!$E$2</definedName>
    <definedName name="alpha" localSheetId="7">LorMVB!$E$2</definedName>
    <definedName name="b" localSheetId="4">LorMRichards!$I$2</definedName>
    <definedName name="b" localSheetId="3">LorMRichards_0.1!$I$2</definedName>
    <definedName name="b" localSheetId="2">LorMRichards_SS!$I$2</definedName>
    <definedName name="b" localSheetId="8">LorMRichardsHoenig!$I$2</definedName>
    <definedName name="b" localSheetId="6">LorMRichardsLower!$I$2</definedName>
    <definedName name="b" localSheetId="5">LorMRichardsUpper!$I$2</definedName>
    <definedName name="b" localSheetId="7">LorMVB!$I$2</definedName>
    <definedName name="b">'empirical estimators'!$F$9</definedName>
    <definedName name="beta" localSheetId="4">LorMRichards!$E$3</definedName>
    <definedName name="beta" localSheetId="3">LorMRichards_0.1!$E$3</definedName>
    <definedName name="beta" localSheetId="2">LorMRichards_SS!$E$3</definedName>
    <definedName name="beta" localSheetId="8">LorMRichardsHoenig!$E$3</definedName>
    <definedName name="beta" localSheetId="6">LorMRichardsLower!$E$3</definedName>
    <definedName name="beta" localSheetId="5">LorMRichardsUpper!$E$3</definedName>
    <definedName name="beta" localSheetId="7">LorMVB!$E$3</definedName>
    <definedName name="cum_L" localSheetId="4">LorMRichards!$G$60</definedName>
    <definedName name="cum_L" localSheetId="3">LorMRichards_0.1!$G$60</definedName>
    <definedName name="cum_L" localSheetId="2">LorMRichards_SS!$G$60</definedName>
    <definedName name="cum_L" localSheetId="8">LorMRichardsHoenig!$G$60</definedName>
    <definedName name="cum_L" localSheetId="6">LorMRichardsLower!$G$60</definedName>
    <definedName name="cum_L" localSheetId="5">LorMRichardsUpper!$G$60</definedName>
    <definedName name="cum_L" localSheetId="7">LorMVB!$G$60</definedName>
    <definedName name="cum_M" localSheetId="4">LorMRichards!$G$61</definedName>
    <definedName name="cum_M" localSheetId="3">LorMRichards_0.1!$G$61</definedName>
    <definedName name="cum_M" localSheetId="2">LorMRichards_SS!$G$61</definedName>
    <definedName name="cum_M" localSheetId="8">LorMRichardsHoenig!$G$61</definedName>
    <definedName name="cum_M" localSheetId="6">LorMRichardsLower!$G$61</definedName>
    <definedName name="cum_M" localSheetId="5">LorMRichardsUpper!$G$61</definedName>
    <definedName name="cum_M" localSheetId="7">LorMVB!$G$61</definedName>
    <definedName name="DIFF" localSheetId="3">#REF!</definedName>
    <definedName name="DIFF" localSheetId="2">#REF!</definedName>
    <definedName name="DIFF" localSheetId="8">#REF!</definedName>
    <definedName name="DIFF" localSheetId="6">#REF!</definedName>
    <definedName name="DIFF" localSheetId="5">#REF!</definedName>
    <definedName name="DIFF" localSheetId="7">#REF!</definedName>
    <definedName name="DIFF" localSheetId="0">#REF!</definedName>
    <definedName name="DIFF">#REF!</definedName>
    <definedName name="End_Age" localSheetId="3">#REF!</definedName>
    <definedName name="End_Age" localSheetId="2">#REF!</definedName>
    <definedName name="End_Age" localSheetId="8">#REF!</definedName>
    <definedName name="End_Age" localSheetId="6">#REF!</definedName>
    <definedName name="End_Age" localSheetId="5">#REF!</definedName>
    <definedName name="End_Age" localSheetId="7">#REF!</definedName>
    <definedName name="End_Age" localSheetId="0">#REF!</definedName>
    <definedName name="End_Age">#REF!</definedName>
    <definedName name="F" localSheetId="4">LorMRichards!#REF!</definedName>
    <definedName name="F" localSheetId="3">LorMRichards_0.1!#REF!</definedName>
    <definedName name="F" localSheetId="2">LorMRichards_SS!#REF!</definedName>
    <definedName name="F" localSheetId="8">LorMRichardsHoenig!#REF!</definedName>
    <definedName name="F" localSheetId="6">LorMRichardsLower!#REF!</definedName>
    <definedName name="F" localSheetId="5">LorMRichardsUpper!#REF!</definedName>
    <definedName name="F" localSheetId="7">LorMVB!#REF!</definedName>
    <definedName name="Feb_15_Shift" localSheetId="3">#REF!</definedName>
    <definedName name="Feb_15_Shift" localSheetId="8">#REF!</definedName>
    <definedName name="Feb_15_Shift" localSheetId="6">#REF!</definedName>
    <definedName name="Feb_15_Shift" localSheetId="5">#REF!</definedName>
    <definedName name="Feb_15_Shift" localSheetId="7">#REF!</definedName>
    <definedName name="Feb_15_Shift" localSheetId="0">#REF!</definedName>
    <definedName name="Feb_15_Shift">#REF!</definedName>
    <definedName name="full_sel_age" localSheetId="4">LorMRichards!$M$2</definedName>
    <definedName name="full_sel_age" localSheetId="3">LorMRichards_0.1!$M$2</definedName>
    <definedName name="full_sel_age" localSheetId="2">LorMRichards_SS!$M$2</definedName>
    <definedName name="full_sel_age" localSheetId="8">LorMRichardsHoenig!$M$2</definedName>
    <definedName name="full_sel_age" localSheetId="6">LorMRichardsLower!$M$2</definedName>
    <definedName name="full_sel_age" localSheetId="5">LorMRichardsUpper!$M$2</definedName>
    <definedName name="full_sel_age" localSheetId="7">LorMVB!$M$2</definedName>
    <definedName name="k" localSheetId="4">LorMRichards!$B$7</definedName>
    <definedName name="k" localSheetId="3">LorMRichards_0.1!$B$7</definedName>
    <definedName name="k" localSheetId="2">LorMRichards_SS!$B$7</definedName>
    <definedName name="k" localSheetId="8">LorMRichardsHoenig!$B$7</definedName>
    <definedName name="k" localSheetId="6">LorMRichardsLower!$B$7</definedName>
    <definedName name="k" localSheetId="5">LorMRichardsUpper!$B$7</definedName>
    <definedName name="k" localSheetId="7">LorMVB!$I$4</definedName>
    <definedName name="K" localSheetId="0">#REF!</definedName>
    <definedName name="K">#REF!</definedName>
    <definedName name="L1_" localSheetId="3">LorMRichards_0.1!$B$4</definedName>
    <definedName name="L1_" localSheetId="2">LorMRichards_SS!$B$4</definedName>
    <definedName name="L1_" localSheetId="8">LorMRichardsHoenig!$B$4</definedName>
    <definedName name="L1_" localSheetId="6">LorMRichardsLower!$B$4</definedName>
    <definedName name="L1_" localSheetId="5">LorMRichardsUpper!$B$4</definedName>
    <definedName name="L1_">LorMRichards!$B$4</definedName>
    <definedName name="L2_" localSheetId="3">LorMRichards_0.1!$B$5</definedName>
    <definedName name="L2_" localSheetId="2">LorMRichards_SS!$B$5</definedName>
    <definedName name="L2_" localSheetId="8">LorMRichardsHoenig!$B$5</definedName>
    <definedName name="L2_" localSheetId="6">LorMRichardsLower!$B$5</definedName>
    <definedName name="L2_" localSheetId="5">LorMRichardsUpper!$B$5</definedName>
    <definedName name="L2_">LorMRichards!$B$5</definedName>
    <definedName name="Length_at_refage" localSheetId="3">#REF!</definedName>
    <definedName name="Length_at_refage" localSheetId="8">#REF!</definedName>
    <definedName name="Length_at_refage" localSheetId="6">#REF!</definedName>
    <definedName name="Length_at_refage" localSheetId="5">#REF!</definedName>
    <definedName name="Length_at_refage" localSheetId="7">#REF!</definedName>
    <definedName name="Length_at_refage" localSheetId="0">#REF!</definedName>
    <definedName name="Length_at_refage">#REF!</definedName>
    <definedName name="Length_at_startage" localSheetId="3">#REF!</definedName>
    <definedName name="Length_at_startage" localSheetId="2">#REF!</definedName>
    <definedName name="Length_at_startage" localSheetId="8">#REF!</definedName>
    <definedName name="Length_at_startage" localSheetId="6">#REF!</definedName>
    <definedName name="Length_at_startage" localSheetId="5">#REF!</definedName>
    <definedName name="Length_at_startage" localSheetId="7">#REF!</definedName>
    <definedName name="Length_at_startage" localSheetId="0">#REF!</definedName>
    <definedName name="Length_at_startage">#REF!</definedName>
    <definedName name="Length_at_stocking" localSheetId="3">#REF!</definedName>
    <definedName name="Length_at_stocking" localSheetId="2">#REF!</definedName>
    <definedName name="Length_at_stocking" localSheetId="8">#REF!</definedName>
    <definedName name="Length_at_stocking" localSheetId="6">#REF!</definedName>
    <definedName name="Length_at_stocking" localSheetId="5">#REF!</definedName>
    <definedName name="Length_at_stocking" localSheetId="7">#REF!</definedName>
    <definedName name="Length_at_stocking" localSheetId="0">#REF!</definedName>
    <definedName name="Length_at_stocking">#REF!</definedName>
    <definedName name="linf" localSheetId="4">LorMRichards!$I$3</definedName>
    <definedName name="linf" localSheetId="3">LorMRichards_0.1!$I$3</definedName>
    <definedName name="linf" localSheetId="2">LorMRichards_SS!$I$3</definedName>
    <definedName name="linf" localSheetId="8">LorMRichardsHoenig!$I$3</definedName>
    <definedName name="linf" localSheetId="6">LorMRichardsLower!$I$3</definedName>
    <definedName name="linf" localSheetId="5">LorMRichardsUpper!$I$3</definedName>
    <definedName name="linf" localSheetId="7">LorMVB!$I$3</definedName>
    <definedName name="Linf" localSheetId="0">#REF!</definedName>
    <definedName name="Linf">#REF!</definedName>
    <definedName name="Loren_M1" localSheetId="3">#REF!</definedName>
    <definedName name="Loren_M1" localSheetId="8">#REF!</definedName>
    <definedName name="Loren_M1" localSheetId="6">#REF!</definedName>
    <definedName name="Loren_M1" localSheetId="5">#REF!</definedName>
    <definedName name="Loren_M1" localSheetId="7">#REF!</definedName>
    <definedName name="Loren_M1" localSheetId="0">#REF!</definedName>
    <definedName name="Loren_M1">#REF!</definedName>
    <definedName name="Loren_temp" localSheetId="3">#REF!</definedName>
    <definedName name="Loren_temp" localSheetId="2">#REF!</definedName>
    <definedName name="Loren_temp" localSheetId="8">#REF!</definedName>
    <definedName name="Loren_temp" localSheetId="6">#REF!</definedName>
    <definedName name="Loren_temp" localSheetId="5">#REF!</definedName>
    <definedName name="Loren_temp" localSheetId="7">#REF!</definedName>
    <definedName name="Loren_temp" localSheetId="0">#REF!</definedName>
    <definedName name="Loren_temp">#REF!</definedName>
    <definedName name="Loren_temp2" localSheetId="3">#REF!</definedName>
    <definedName name="Loren_temp2">#REF!</definedName>
    <definedName name="Lorenzen_M1" localSheetId="3">#REF!</definedName>
    <definedName name="Lorenzen_M1" localSheetId="2">#REF!</definedName>
    <definedName name="Lorenzen_M1" localSheetId="8">#REF!</definedName>
    <definedName name="Lorenzen_M1" localSheetId="6">#REF!</definedName>
    <definedName name="Lorenzen_M1" localSheetId="5">#REF!</definedName>
    <definedName name="Lorenzen_M1" localSheetId="7">#REF!</definedName>
    <definedName name="Lorenzen_M1" localSheetId="0">#REF!</definedName>
    <definedName name="Lorenzen_M1">#REF!</definedName>
    <definedName name="maxage_M" localSheetId="4">LorMRichards!$M$8</definedName>
    <definedName name="maxage_M" localSheetId="3">LorMRichards_0.1!$M$8</definedName>
    <definedName name="maxage_M" localSheetId="2">LorMRichards_SS!$M$8</definedName>
    <definedName name="maxage_M" localSheetId="8">LorMRichardsHoenig!$M$8</definedName>
    <definedName name="maxage_M" localSheetId="6">LorMRichardsLower!$M$8</definedName>
    <definedName name="maxage_M" localSheetId="5">LorMRichardsUpper!$M$8</definedName>
    <definedName name="maxage_M" localSheetId="7">LorMVB!$M$8</definedName>
    <definedName name="midyear_shift" localSheetId="3">#REF!</definedName>
    <definedName name="midyear_shift" localSheetId="8">#REF!</definedName>
    <definedName name="midyear_shift" localSheetId="6">#REF!</definedName>
    <definedName name="midyear_shift" localSheetId="5">#REF!</definedName>
    <definedName name="midyear_shift" localSheetId="7">#REF!</definedName>
    <definedName name="midyear_shift" localSheetId="0">#REF!</definedName>
    <definedName name="midyear_shift">#REF!</definedName>
    <definedName name="offset" localSheetId="4">LorMRichards!$M$4</definedName>
    <definedName name="offset" localSheetId="3">LorMRichards_0.1!$M$4</definedName>
    <definedName name="offset" localSheetId="2">LorMRichards_SS!$M$4</definedName>
    <definedName name="offset" localSheetId="8">LorMRichardsHoenig!$M$4</definedName>
    <definedName name="offset" localSheetId="6">LorMRichardsLower!$M$4</definedName>
    <definedName name="offset" localSheetId="5">LorMRichardsUpper!$M$4</definedName>
    <definedName name="offset" localSheetId="7">LorMVB!$M$4</definedName>
    <definedName name="p" localSheetId="3">LorMRichards_0.1!$B$6</definedName>
    <definedName name="p" localSheetId="2">LorMRichards_SS!$B$6</definedName>
    <definedName name="p" localSheetId="8">LorMRichardsHoenig!$B$6</definedName>
    <definedName name="p" localSheetId="6">LorMRichardsLower!$B$6</definedName>
    <definedName name="p" localSheetId="5">LorMRichardsUpper!$B$6</definedName>
    <definedName name="p">LorMRichards!$B$6</definedName>
    <definedName name="plus_age" localSheetId="4">LorMRichards!$M$3</definedName>
    <definedName name="plus_age" localSheetId="3">LorMRichards_0.1!$M$3</definedName>
    <definedName name="plus_age" localSheetId="2">LorMRichards_SS!$M$3</definedName>
    <definedName name="plus_age" localSheetId="8">LorMRichardsHoenig!$M$3</definedName>
    <definedName name="plus_age" localSheetId="6">LorMRichardsLower!$M$3</definedName>
    <definedName name="plus_age" localSheetId="5">LorMRichardsUpper!$M$3</definedName>
    <definedName name="plus_age" localSheetId="7">LorMVB!$M$3</definedName>
    <definedName name="plus_age" localSheetId="0">Summary_NewMvector!#REF!</definedName>
    <definedName name="plus_m" localSheetId="4">LorMRichards!$I$61</definedName>
    <definedName name="plus_m" localSheetId="3">LorMRichards_0.1!$I$61</definedName>
    <definedName name="plus_m" localSheetId="2">LorMRichards_SS!$I$61</definedName>
    <definedName name="plus_m" localSheetId="8">LorMRichardsHoenig!$I$61</definedName>
    <definedName name="plus_m" localSheetId="6">LorMRichardsLower!$I$61</definedName>
    <definedName name="plus_m" localSheetId="5">LorMRichardsUpper!$I$61</definedName>
    <definedName name="plus_m" localSheetId="7">LorMVB!$I$61</definedName>
    <definedName name="plus_m" localSheetId="0">Summary_NewMvector!$F$64</definedName>
    <definedName name="refAge" localSheetId="3">#REF!</definedName>
    <definedName name="refAge">#REF!</definedName>
    <definedName name="shift" localSheetId="4">LorMRichards!$I$6</definedName>
    <definedName name="shift" localSheetId="3">LorMRichards_0.1!$I$6</definedName>
    <definedName name="shift" localSheetId="2">LorMRichards_SS!$I$6</definedName>
    <definedName name="shift" localSheetId="8">LorMRichardsHoenig!$I$6</definedName>
    <definedName name="shift" localSheetId="6">LorMRichardsLower!$I$6</definedName>
    <definedName name="shift" localSheetId="5">LorMRichardsUpper!$I$6</definedName>
    <definedName name="shift" localSheetId="7">LorMVB!$I$6</definedName>
    <definedName name="solver_adj" localSheetId="4" hidden="1">LorMRichards!$M$2</definedName>
    <definedName name="solver_adj" localSheetId="3" hidden="1">LorMRichards_0.1!$M$2</definedName>
    <definedName name="solver_adj" localSheetId="2" hidden="1">LorMRichards_SS!$M$2</definedName>
    <definedName name="solver_adj" localSheetId="8" hidden="1">LorMRichardsHoenig!$M$2</definedName>
    <definedName name="solver_adj" localSheetId="6" hidden="1">LorMRichardsLower!$M$2</definedName>
    <definedName name="solver_adj" localSheetId="5" hidden="1">LorMRichardsUpper!$M$2</definedName>
    <definedName name="solver_adj" localSheetId="7" hidden="1">LorMVB!$M$2</definedName>
    <definedName name="solver_cvg" localSheetId="4" hidden="1">0.0001</definedName>
    <definedName name="solver_cvg" localSheetId="3" hidden="1">0.0001</definedName>
    <definedName name="solver_cvg" localSheetId="2" hidden="1">0.0001</definedName>
    <definedName name="solver_cvg" localSheetId="8" hidden="1">0.0001</definedName>
    <definedName name="solver_cvg" localSheetId="6" hidden="1">0.0001</definedName>
    <definedName name="solver_cvg" localSheetId="5" hidden="1">0.0001</definedName>
    <definedName name="solver_cvg" localSheetId="7" hidden="1">0.0001</definedName>
    <definedName name="solver_drv" localSheetId="4" hidden="1">2</definedName>
    <definedName name="solver_drv" localSheetId="3" hidden="1">2</definedName>
    <definedName name="solver_drv" localSheetId="2" hidden="1">2</definedName>
    <definedName name="solver_drv" localSheetId="8" hidden="1">2</definedName>
    <definedName name="solver_drv" localSheetId="6" hidden="1">2</definedName>
    <definedName name="solver_drv" localSheetId="5" hidden="1">2</definedName>
    <definedName name="solver_drv" localSheetId="7" hidden="1">2</definedName>
    <definedName name="solver_eng" localSheetId="4" hidden="1">1</definedName>
    <definedName name="solver_eng" localSheetId="3" hidden="1">1</definedName>
    <definedName name="solver_eng" localSheetId="2" hidden="1">1</definedName>
    <definedName name="solver_eng" localSheetId="8" hidden="1">1</definedName>
    <definedName name="solver_eng" localSheetId="6" hidden="1">1</definedName>
    <definedName name="solver_eng" localSheetId="5" hidden="1">1</definedName>
    <definedName name="solver_eng" localSheetId="7" hidden="1">1</definedName>
    <definedName name="solver_est" localSheetId="4" hidden="1">1</definedName>
    <definedName name="solver_est" localSheetId="3" hidden="1">1</definedName>
    <definedName name="solver_est" localSheetId="2" hidden="1">1</definedName>
    <definedName name="solver_est" localSheetId="8" hidden="1">1</definedName>
    <definedName name="solver_est" localSheetId="6" hidden="1">1</definedName>
    <definedName name="solver_est" localSheetId="5" hidden="1">1</definedName>
    <definedName name="solver_est" localSheetId="7" hidden="1">1</definedName>
    <definedName name="solver_itr" localSheetId="4" hidden="1">2147483647</definedName>
    <definedName name="solver_itr" localSheetId="3" hidden="1">2147483647</definedName>
    <definedName name="solver_itr" localSheetId="2" hidden="1">2147483647</definedName>
    <definedName name="solver_itr" localSheetId="8" hidden="1">2147483647</definedName>
    <definedName name="solver_itr" localSheetId="6" hidden="1">2147483647</definedName>
    <definedName name="solver_itr" localSheetId="5" hidden="1">2147483647</definedName>
    <definedName name="solver_itr" localSheetId="7" hidden="1">2147483647</definedName>
    <definedName name="solver_lhs1" localSheetId="4" hidden="1">LorMRichards!$M$2</definedName>
    <definedName name="solver_lhs1" localSheetId="3" hidden="1">LorMRichards_0.1!$M$2</definedName>
    <definedName name="solver_lhs1" localSheetId="2" hidden="1">LorMRichards_SS!$M$2</definedName>
    <definedName name="solver_lhs1" localSheetId="8" hidden="1">LorMRichardsHoenig!$M$2</definedName>
    <definedName name="solver_lhs1" localSheetId="6" hidden="1">LorMRichardsLower!$M$2</definedName>
    <definedName name="solver_lhs1" localSheetId="5" hidden="1">LorMRichardsUpper!$M$2</definedName>
    <definedName name="solver_lhs1" localSheetId="7" hidden="1">LorMVB!$M$2</definedName>
    <definedName name="solver_mip" localSheetId="4" hidden="1">2147483647</definedName>
    <definedName name="solver_mip" localSheetId="3" hidden="1">2147483647</definedName>
    <definedName name="solver_mip" localSheetId="2" hidden="1">2147483647</definedName>
    <definedName name="solver_mip" localSheetId="8" hidden="1">2147483647</definedName>
    <definedName name="solver_mip" localSheetId="6" hidden="1">2147483647</definedName>
    <definedName name="solver_mip" localSheetId="5" hidden="1">2147483647</definedName>
    <definedName name="solver_mip" localSheetId="7" hidden="1">2147483647</definedName>
    <definedName name="solver_mni" localSheetId="4" hidden="1">30</definedName>
    <definedName name="solver_mni" localSheetId="3" hidden="1">30</definedName>
    <definedName name="solver_mni" localSheetId="2" hidden="1">30</definedName>
    <definedName name="solver_mni" localSheetId="8" hidden="1">30</definedName>
    <definedName name="solver_mni" localSheetId="6" hidden="1">30</definedName>
    <definedName name="solver_mni" localSheetId="5" hidden="1">30</definedName>
    <definedName name="solver_mni" localSheetId="7" hidden="1">30</definedName>
    <definedName name="solver_mrt" localSheetId="4" hidden="1">0.075</definedName>
    <definedName name="solver_mrt" localSheetId="3" hidden="1">0.075</definedName>
    <definedName name="solver_mrt" localSheetId="2" hidden="1">0.075</definedName>
    <definedName name="solver_mrt" localSheetId="8" hidden="1">0.075</definedName>
    <definedName name="solver_mrt" localSheetId="6" hidden="1">0.075</definedName>
    <definedName name="solver_mrt" localSheetId="5" hidden="1">0.075</definedName>
    <definedName name="solver_mrt" localSheetId="7" hidden="1">0.075</definedName>
    <definedName name="solver_msl" localSheetId="4" hidden="1">2</definedName>
    <definedName name="solver_msl" localSheetId="3" hidden="1">2</definedName>
    <definedName name="solver_msl" localSheetId="2" hidden="1">2</definedName>
    <definedName name="solver_msl" localSheetId="8" hidden="1">2</definedName>
    <definedName name="solver_msl" localSheetId="6" hidden="1">2</definedName>
    <definedName name="solver_msl" localSheetId="5" hidden="1">2</definedName>
    <definedName name="solver_msl" localSheetId="7" hidden="1">2</definedName>
    <definedName name="solver_neg" localSheetId="4" hidden="1">1</definedName>
    <definedName name="solver_neg" localSheetId="3" hidden="1">1</definedName>
    <definedName name="solver_neg" localSheetId="2" hidden="1">1</definedName>
    <definedName name="solver_neg" localSheetId="8" hidden="1">1</definedName>
    <definedName name="solver_neg" localSheetId="6" hidden="1">1</definedName>
    <definedName name="solver_neg" localSheetId="5" hidden="1">1</definedName>
    <definedName name="solver_neg" localSheetId="7" hidden="1">1</definedName>
    <definedName name="solver_nod" localSheetId="4" hidden="1">2147483647</definedName>
    <definedName name="solver_nod" localSheetId="3" hidden="1">2147483647</definedName>
    <definedName name="solver_nod" localSheetId="2" hidden="1">2147483647</definedName>
    <definedName name="solver_nod" localSheetId="8" hidden="1">2147483647</definedName>
    <definedName name="solver_nod" localSheetId="6" hidden="1">2147483647</definedName>
    <definedName name="solver_nod" localSheetId="5" hidden="1">2147483647</definedName>
    <definedName name="solver_nod" localSheetId="7" hidden="1">2147483647</definedName>
    <definedName name="solver_num" localSheetId="4" hidden="1">1</definedName>
    <definedName name="solver_num" localSheetId="3" hidden="1">1</definedName>
    <definedName name="solver_num" localSheetId="2" hidden="1">1</definedName>
    <definedName name="solver_num" localSheetId="8" hidden="1">1</definedName>
    <definedName name="solver_num" localSheetId="6" hidden="1">1</definedName>
    <definedName name="solver_num" localSheetId="5" hidden="1">1</definedName>
    <definedName name="solver_num" localSheetId="7" hidden="1">1</definedName>
    <definedName name="solver_nwt" localSheetId="4" hidden="1">1</definedName>
    <definedName name="solver_nwt" localSheetId="3" hidden="1">1</definedName>
    <definedName name="solver_nwt" localSheetId="2" hidden="1">1</definedName>
    <definedName name="solver_nwt" localSheetId="8" hidden="1">1</definedName>
    <definedName name="solver_nwt" localSheetId="6" hidden="1">1</definedName>
    <definedName name="solver_nwt" localSheetId="5" hidden="1">1</definedName>
    <definedName name="solver_nwt" localSheetId="7" hidden="1">1</definedName>
    <definedName name="solver_opt" localSheetId="4" hidden="1">LorMRichards!$O$23</definedName>
    <definedName name="solver_opt" localSheetId="3" hidden="1">LorMRichards_0.1!$M$18</definedName>
    <definedName name="solver_opt" localSheetId="2" hidden="1">LorMRichards_SS!#REF!</definedName>
    <definedName name="solver_opt" localSheetId="8" hidden="1">LorMRichardsHoenig!$O$23</definedName>
    <definedName name="solver_opt" localSheetId="6" hidden="1">LorMRichardsLower!$O$23</definedName>
    <definedName name="solver_opt" localSheetId="5" hidden="1">LorMRichardsUpper!$O$23</definedName>
    <definedName name="solver_opt" localSheetId="7" hidden="1">LorMVB!$O$23</definedName>
    <definedName name="solver_pre" localSheetId="4" hidden="1">0.000001</definedName>
    <definedName name="solver_pre" localSheetId="3" hidden="1">0.000001</definedName>
    <definedName name="solver_pre" localSheetId="2" hidden="1">0.000001</definedName>
    <definedName name="solver_pre" localSheetId="8" hidden="1">0.000001</definedName>
    <definedName name="solver_pre" localSheetId="6" hidden="1">0.000001</definedName>
    <definedName name="solver_pre" localSheetId="5" hidden="1">0.000001</definedName>
    <definedName name="solver_pre" localSheetId="7" hidden="1">0.000001</definedName>
    <definedName name="solver_rbv" localSheetId="4" hidden="1">2</definedName>
    <definedName name="solver_rbv" localSheetId="3" hidden="1">2</definedName>
    <definedName name="solver_rbv" localSheetId="2" hidden="1">2</definedName>
    <definedName name="solver_rbv" localSheetId="8" hidden="1">2</definedName>
    <definedName name="solver_rbv" localSheetId="6" hidden="1">2</definedName>
    <definedName name="solver_rbv" localSheetId="5" hidden="1">2</definedName>
    <definedName name="solver_rbv" localSheetId="7" hidden="1">2</definedName>
    <definedName name="solver_rel1" localSheetId="4" hidden="1">3</definedName>
    <definedName name="solver_rel1" localSheetId="3" hidden="1">3</definedName>
    <definedName name="solver_rel1" localSheetId="2" hidden="1">3</definedName>
    <definedName name="solver_rel1" localSheetId="8" hidden="1">3</definedName>
    <definedName name="solver_rel1" localSheetId="6" hidden="1">3</definedName>
    <definedName name="solver_rel1" localSheetId="5" hidden="1">3</definedName>
    <definedName name="solver_rel1" localSheetId="7" hidden="1">3</definedName>
    <definedName name="solver_rhs1" localSheetId="4" hidden="1">0.0001</definedName>
    <definedName name="solver_rhs1" localSheetId="3" hidden="1">0.0001</definedName>
    <definedName name="solver_rhs1" localSheetId="2" hidden="1">0.0001</definedName>
    <definedName name="solver_rhs1" localSheetId="8" hidden="1">0.0001</definedName>
    <definedName name="solver_rhs1" localSheetId="6" hidden="1">0.0001</definedName>
    <definedName name="solver_rhs1" localSheetId="5" hidden="1">0.0001</definedName>
    <definedName name="solver_rhs1" localSheetId="7" hidden="1">0.0001</definedName>
    <definedName name="solver_rlx" localSheetId="4" hidden="1">2</definedName>
    <definedName name="solver_rlx" localSheetId="3" hidden="1">2</definedName>
    <definedName name="solver_rlx" localSheetId="2" hidden="1">2</definedName>
    <definedName name="solver_rlx" localSheetId="8" hidden="1">2</definedName>
    <definedName name="solver_rlx" localSheetId="6" hidden="1">2</definedName>
    <definedName name="solver_rlx" localSheetId="5" hidden="1">2</definedName>
    <definedName name="solver_rlx" localSheetId="7" hidden="1">2</definedName>
    <definedName name="solver_rsd" localSheetId="4" hidden="1">0</definedName>
    <definedName name="solver_rsd" localSheetId="3" hidden="1">0</definedName>
    <definedName name="solver_rsd" localSheetId="2" hidden="1">0</definedName>
    <definedName name="solver_rsd" localSheetId="8" hidden="1">0</definedName>
    <definedName name="solver_rsd" localSheetId="6" hidden="1">0</definedName>
    <definedName name="solver_rsd" localSheetId="5" hidden="1">0</definedName>
    <definedName name="solver_rsd" localSheetId="7" hidden="1">0</definedName>
    <definedName name="solver_scl" localSheetId="4" hidden="1">2</definedName>
    <definedName name="solver_scl" localSheetId="3" hidden="1">2</definedName>
    <definedName name="solver_scl" localSheetId="2" hidden="1">2</definedName>
    <definedName name="solver_scl" localSheetId="8" hidden="1">2</definedName>
    <definedName name="solver_scl" localSheetId="6" hidden="1">2</definedName>
    <definedName name="solver_scl" localSheetId="5" hidden="1">2</definedName>
    <definedName name="solver_scl" localSheetId="7" hidden="1">2</definedName>
    <definedName name="solver_sho" localSheetId="4" hidden="1">2</definedName>
    <definedName name="solver_sho" localSheetId="3" hidden="1">2</definedName>
    <definedName name="solver_sho" localSheetId="2" hidden="1">2</definedName>
    <definedName name="solver_sho" localSheetId="8" hidden="1">2</definedName>
    <definedName name="solver_sho" localSheetId="6" hidden="1">2</definedName>
    <definedName name="solver_sho" localSheetId="5" hidden="1">2</definedName>
    <definedName name="solver_sho" localSheetId="7" hidden="1">2</definedName>
    <definedName name="solver_ssz" localSheetId="4" hidden="1">100</definedName>
    <definedName name="solver_ssz" localSheetId="3" hidden="1">100</definedName>
    <definedName name="solver_ssz" localSheetId="2" hidden="1">100</definedName>
    <definedName name="solver_ssz" localSheetId="8" hidden="1">100</definedName>
    <definedName name="solver_ssz" localSheetId="6" hidden="1">100</definedName>
    <definedName name="solver_ssz" localSheetId="5" hidden="1">100</definedName>
    <definedName name="solver_ssz" localSheetId="7" hidden="1">100</definedName>
    <definedName name="solver_tim" localSheetId="4" hidden="1">2147483647</definedName>
    <definedName name="solver_tim" localSheetId="3" hidden="1">2147483647</definedName>
    <definedName name="solver_tim" localSheetId="2" hidden="1">2147483647</definedName>
    <definedName name="solver_tim" localSheetId="8" hidden="1">2147483647</definedName>
    <definedName name="solver_tim" localSheetId="6" hidden="1">2147483647</definedName>
    <definedName name="solver_tim" localSheetId="5" hidden="1">2147483647</definedName>
    <definedName name="solver_tim" localSheetId="7" hidden="1">2147483647</definedName>
    <definedName name="solver_tol" localSheetId="4" hidden="1">0.01</definedName>
    <definedName name="solver_tol" localSheetId="3" hidden="1">0.01</definedName>
    <definedName name="solver_tol" localSheetId="2" hidden="1">0.01</definedName>
    <definedName name="solver_tol" localSheetId="8" hidden="1">0.01</definedName>
    <definedName name="solver_tol" localSheetId="6" hidden="1">0.01</definedName>
    <definedName name="solver_tol" localSheetId="5" hidden="1">0.01</definedName>
    <definedName name="solver_tol" localSheetId="7" hidden="1">0.01</definedName>
    <definedName name="solver_typ" localSheetId="4" hidden="1">3</definedName>
    <definedName name="solver_typ" localSheetId="3" hidden="1">2</definedName>
    <definedName name="solver_typ" localSheetId="2" hidden="1">3</definedName>
    <definedName name="solver_typ" localSheetId="8" hidden="1">3</definedName>
    <definedName name="solver_typ" localSheetId="6" hidden="1">3</definedName>
    <definedName name="solver_typ" localSheetId="5" hidden="1">3</definedName>
    <definedName name="solver_typ" localSheetId="7" hidden="1">3</definedName>
    <definedName name="solver_val" localSheetId="4" hidden="1">0</definedName>
    <definedName name="solver_val" localSheetId="3" hidden="1">0</definedName>
    <definedName name="solver_val" localSheetId="2" hidden="1">0</definedName>
    <definedName name="solver_val" localSheetId="8" hidden="1">0</definedName>
    <definedName name="solver_val" localSheetId="6" hidden="1">0</definedName>
    <definedName name="solver_val" localSheetId="5" hidden="1">0</definedName>
    <definedName name="solver_val" localSheetId="7" hidden="1">0</definedName>
    <definedName name="solver_ver" localSheetId="4" hidden="1">3</definedName>
    <definedName name="solver_ver" localSheetId="3" hidden="1">3</definedName>
    <definedName name="solver_ver" localSheetId="2" hidden="1">3</definedName>
    <definedName name="solver_ver" localSheetId="8" hidden="1">3</definedName>
    <definedName name="solver_ver" localSheetId="6" hidden="1">3</definedName>
    <definedName name="solver_ver" localSheetId="5" hidden="1">3</definedName>
    <definedName name="solver_ver" localSheetId="7" hidden="1">3</definedName>
    <definedName name="Start_Age" localSheetId="3">#REF!</definedName>
    <definedName name="Start_Age" localSheetId="2">#REF!</definedName>
    <definedName name="Start_Age" localSheetId="8">#REF!</definedName>
    <definedName name="Start_Age" localSheetId="6">#REF!</definedName>
    <definedName name="Start_Age" localSheetId="5">#REF!</definedName>
    <definedName name="Start_Age" localSheetId="7">#REF!</definedName>
    <definedName name="Start_Age" localSheetId="0">#REF!</definedName>
    <definedName name="Start_Age">#REF!</definedName>
    <definedName name="t0" localSheetId="4">LorMRichards!$I$5</definedName>
    <definedName name="t0" localSheetId="3">LorMRichards_0.1!$I$5</definedName>
    <definedName name="t0" localSheetId="2">LorMRichards_SS!$I$5</definedName>
    <definedName name="t0" localSheetId="8">LorMRichardsHoenig!$I$5</definedName>
    <definedName name="t0" localSheetId="6">LorMRichardsLower!$I$5</definedName>
    <definedName name="t0" localSheetId="5">LorMRichardsUpper!$I$5</definedName>
    <definedName name="t0" localSheetId="7">LorMVB!$I$5</definedName>
    <definedName name="t0" localSheetId="0">#REF!</definedName>
    <definedName name="t0">#REF!</definedName>
    <definedName name="target_M" localSheetId="3">LorMRichards_0.1!$M$6</definedName>
    <definedName name="target_M" localSheetId="2">LorMRichards_SS!$M$6</definedName>
    <definedName name="target_M" localSheetId="8">LorMRichardsHoenig!$M$6</definedName>
    <definedName name="target_M" localSheetId="6">LorMRichardsLower!$M$6</definedName>
    <definedName name="target_M" localSheetId="5">LorMRichardsUpper!$M$6</definedName>
    <definedName name="target_M" localSheetId="7">LorMVB!$M$6</definedName>
    <definedName name="target_M">LorMRichards!$M$6</definedName>
    <definedName name="tmax" localSheetId="4">LorMRichards!$M$1</definedName>
    <definedName name="tmax" localSheetId="3">LorMRichards_0.1!$M$1</definedName>
    <definedName name="tmax" localSheetId="2">LorMRichards_SS!$M$1</definedName>
    <definedName name="tmax" localSheetId="8">LorMRichardsHoenig!$M$1</definedName>
    <definedName name="tmax" localSheetId="6">LorMRichardsLower!$M$1</definedName>
    <definedName name="tmax" localSheetId="5">LorMRichardsUpper!$M$1</definedName>
    <definedName name="tmax" localSheetId="7">LorMVB!$M$1</definedName>
  </definedNames>
  <calcPr calcId="171027"/>
</workbook>
</file>

<file path=xl/calcChain.xml><?xml version="1.0" encoding="utf-8"?>
<calcChain xmlns="http://schemas.openxmlformats.org/spreadsheetml/2006/main">
  <c r="F102" i="43" l="1"/>
  <c r="E102" i="43"/>
  <c r="F101" i="43"/>
  <c r="E101" i="43"/>
  <c r="F100" i="43"/>
  <c r="E100" i="43"/>
  <c r="F99" i="43"/>
  <c r="E99" i="43"/>
  <c r="F98" i="43"/>
  <c r="E98" i="43"/>
  <c r="F97" i="43"/>
  <c r="E97" i="43"/>
  <c r="F96" i="43"/>
  <c r="E96" i="43"/>
  <c r="F95" i="43"/>
  <c r="E95" i="43"/>
  <c r="F94" i="43"/>
  <c r="E94" i="43"/>
  <c r="F93" i="43"/>
  <c r="E93" i="43"/>
  <c r="F92" i="43"/>
  <c r="E92" i="43"/>
  <c r="F91" i="43"/>
  <c r="E91" i="43"/>
  <c r="F90" i="43"/>
  <c r="E90" i="43"/>
  <c r="F89" i="43"/>
  <c r="E89" i="43"/>
  <c r="F88" i="43"/>
  <c r="E88" i="43"/>
  <c r="F87" i="43"/>
  <c r="E87" i="43"/>
  <c r="F86" i="43"/>
  <c r="E86" i="43"/>
  <c r="F85" i="43"/>
  <c r="E85" i="43"/>
  <c r="F84" i="43"/>
  <c r="E84" i="43"/>
  <c r="F83" i="43"/>
  <c r="E83" i="43"/>
  <c r="F82" i="43"/>
  <c r="E82" i="43"/>
  <c r="F81" i="43"/>
  <c r="E81" i="43"/>
  <c r="F80" i="43"/>
  <c r="E80" i="43"/>
  <c r="F79" i="43"/>
  <c r="E79" i="43"/>
  <c r="F78" i="43"/>
  <c r="E78" i="43"/>
  <c r="D102" i="43" l="1"/>
  <c r="C102" i="43"/>
  <c r="D101" i="43"/>
  <c r="C101" i="43"/>
  <c r="D100" i="43"/>
  <c r="C100" i="43"/>
  <c r="D99" i="43"/>
  <c r="C99" i="43"/>
  <c r="D98" i="43"/>
  <c r="C98" i="43"/>
  <c r="D97" i="43"/>
  <c r="C97" i="43"/>
  <c r="D96" i="43"/>
  <c r="C96" i="43"/>
  <c r="D95" i="43"/>
  <c r="C95" i="43"/>
  <c r="D94" i="43"/>
  <c r="C94" i="43"/>
  <c r="D93" i="43"/>
  <c r="C93" i="43"/>
  <c r="D92" i="43"/>
  <c r="C92" i="43"/>
  <c r="D91" i="43"/>
  <c r="C91" i="43"/>
  <c r="D90" i="43"/>
  <c r="C90" i="43"/>
  <c r="D89" i="43"/>
  <c r="C89" i="43"/>
  <c r="D88" i="43"/>
  <c r="C88" i="43"/>
  <c r="D87" i="43"/>
  <c r="C87" i="43"/>
  <c r="D86" i="43"/>
  <c r="C86" i="43"/>
  <c r="D85" i="43"/>
  <c r="C85" i="43"/>
  <c r="D84" i="43"/>
  <c r="C84" i="43"/>
  <c r="D83" i="43"/>
  <c r="C83" i="43"/>
  <c r="D82" i="43"/>
  <c r="C82" i="43"/>
  <c r="D81" i="43"/>
  <c r="C81" i="43"/>
  <c r="D80" i="43"/>
  <c r="C80" i="43"/>
  <c r="D79" i="43"/>
  <c r="C79" i="43"/>
  <c r="D78" i="43"/>
  <c r="C78" i="43"/>
  <c r="I6" i="53" l="1"/>
  <c r="I6" i="48"/>
  <c r="I6" i="50"/>
  <c r="I6" i="49"/>
  <c r="I6" i="15"/>
  <c r="I6" i="54"/>
  <c r="U14" i="51" l="1"/>
  <c r="P10" i="53" l="1"/>
  <c r="O6" i="54"/>
  <c r="C13" i="54"/>
  <c r="C14" i="54" s="1"/>
  <c r="K14" i="54" s="1"/>
  <c r="K12" i="54"/>
  <c r="I12" i="54"/>
  <c r="G12" i="54"/>
  <c r="P7" i="54"/>
  <c r="D12" i="54"/>
  <c r="E12" i="54" s="1"/>
  <c r="F12" i="54" s="1"/>
  <c r="D13" i="54" l="1"/>
  <c r="E13" i="54" s="1"/>
  <c r="F13" i="54" s="1"/>
  <c r="M12" i="54"/>
  <c r="M11" i="54"/>
  <c r="G61" i="54"/>
  <c r="M8" i="54"/>
  <c r="I14" i="54"/>
  <c r="G14" i="54"/>
  <c r="D14" i="54"/>
  <c r="E14" i="54" s="1"/>
  <c r="F14" i="54" s="1"/>
  <c r="C15" i="54"/>
  <c r="K13" i="54"/>
  <c r="G13" i="54"/>
  <c r="I13" i="54"/>
  <c r="P17" i="53"/>
  <c r="P8" i="53"/>
  <c r="P6" i="53"/>
  <c r="P5" i="53"/>
  <c r="P3" i="53"/>
  <c r="K12" i="53"/>
  <c r="D12" i="53"/>
  <c r="D12" i="15"/>
  <c r="E12" i="53" l="1"/>
  <c r="B12" i="53"/>
  <c r="P9" i="53"/>
  <c r="P14" i="53" s="1"/>
  <c r="P76" i="53" s="1"/>
  <c r="G15" i="54"/>
  <c r="I15" i="54"/>
  <c r="C16" i="54"/>
  <c r="K15" i="54"/>
  <c r="D15" i="54"/>
  <c r="E15" i="54" s="1"/>
  <c r="F15" i="54" s="1"/>
  <c r="M5" i="53"/>
  <c r="K13" i="53"/>
  <c r="D13" i="53"/>
  <c r="B13" i="53" s="1"/>
  <c r="C14" i="53"/>
  <c r="C15" i="53" s="1"/>
  <c r="P11" i="53"/>
  <c r="O6" i="48"/>
  <c r="P7" i="48"/>
  <c r="C17" i="54" l="1"/>
  <c r="D16" i="54"/>
  <c r="E16" i="54" s="1"/>
  <c r="F16" i="54" s="1"/>
  <c r="I16" i="54"/>
  <c r="D14" i="53"/>
  <c r="P74" i="53"/>
  <c r="P72" i="53"/>
  <c r="P75" i="53"/>
  <c r="P73" i="53"/>
  <c r="P77" i="53"/>
  <c r="P69" i="53"/>
  <c r="P65" i="53"/>
  <c r="P70" i="53"/>
  <c r="P66" i="53"/>
  <c r="P67" i="53"/>
  <c r="E13" i="53"/>
  <c r="P19" i="53"/>
  <c r="P7" i="43" s="1"/>
  <c r="P71" i="53"/>
  <c r="P68" i="53"/>
  <c r="P18" i="53"/>
  <c r="P6" i="43" s="1"/>
  <c r="D15" i="53"/>
  <c r="C16" i="53"/>
  <c r="W16" i="51"/>
  <c r="W17" i="51"/>
  <c r="J58" i="51"/>
  <c r="I58" i="51"/>
  <c r="K17" i="51"/>
  <c r="Q16" i="51"/>
  <c r="Z17" i="51"/>
  <c r="Y17" i="51"/>
  <c r="X17" i="51"/>
  <c r="V17" i="51"/>
  <c r="U17" i="51"/>
  <c r="T17" i="51"/>
  <c r="S17" i="51"/>
  <c r="R17" i="51"/>
  <c r="Q17" i="51"/>
  <c r="P17" i="51"/>
  <c r="O17" i="51"/>
  <c r="N17" i="51"/>
  <c r="M17" i="51"/>
  <c r="L17" i="51"/>
  <c r="G17" i="51"/>
  <c r="Z16" i="51"/>
  <c r="X16" i="51"/>
  <c r="V16" i="51"/>
  <c r="U16" i="51"/>
  <c r="T16" i="51"/>
  <c r="S16" i="51"/>
  <c r="R16" i="51"/>
  <c r="P16" i="51"/>
  <c r="O16" i="51"/>
  <c r="N16" i="51"/>
  <c r="M16" i="51"/>
  <c r="L16" i="51"/>
  <c r="K16" i="51"/>
  <c r="G16" i="51"/>
  <c r="Y16" i="51" s="1"/>
  <c r="Z15" i="51"/>
  <c r="Z14" i="51"/>
  <c r="H58" i="51"/>
  <c r="G58" i="51"/>
  <c r="M15" i="51"/>
  <c r="M14" i="51"/>
  <c r="G14" i="51"/>
  <c r="Y14" i="51" s="1"/>
  <c r="X15" i="51"/>
  <c r="W15" i="51"/>
  <c r="V15" i="51"/>
  <c r="U15" i="51"/>
  <c r="T15" i="51"/>
  <c r="S15" i="51"/>
  <c r="R15" i="51"/>
  <c r="Q15" i="51"/>
  <c r="P15" i="51"/>
  <c r="O15" i="51"/>
  <c r="N15" i="51"/>
  <c r="L15" i="51"/>
  <c r="K15" i="51"/>
  <c r="G15" i="51"/>
  <c r="Y15" i="51" s="1"/>
  <c r="X14" i="51"/>
  <c r="W14" i="51"/>
  <c r="V14" i="51"/>
  <c r="T14" i="51"/>
  <c r="S14" i="51"/>
  <c r="R14" i="51"/>
  <c r="Q14" i="51"/>
  <c r="P14" i="51"/>
  <c r="O14" i="51"/>
  <c r="N14" i="51"/>
  <c r="L14" i="51"/>
  <c r="K14" i="51"/>
  <c r="P21" i="53" l="1"/>
  <c r="P9" i="43" s="1"/>
  <c r="B15" i="53"/>
  <c r="E14" i="53"/>
  <c r="B14" i="53"/>
  <c r="P20" i="53"/>
  <c r="P8" i="43" s="1"/>
  <c r="G16" i="54"/>
  <c r="C18" i="54"/>
  <c r="D17" i="54"/>
  <c r="B17" i="54" s="1"/>
  <c r="I17" i="54"/>
  <c r="E15" i="53"/>
  <c r="C17" i="53"/>
  <c r="D16" i="53"/>
  <c r="B16" i="53" s="1"/>
  <c r="C19" i="54" l="1"/>
  <c r="D18" i="54"/>
  <c r="E18" i="54" s="1"/>
  <c r="F18" i="54" s="1"/>
  <c r="I18" i="54"/>
  <c r="E17" i="54"/>
  <c r="F17" i="54" s="1"/>
  <c r="E16" i="53"/>
  <c r="P22" i="53"/>
  <c r="P10" i="43" s="1"/>
  <c r="D17" i="53"/>
  <c r="C18" i="53"/>
  <c r="E17" i="53" l="1"/>
  <c r="B17" i="53"/>
  <c r="G18" i="54"/>
  <c r="G17" i="54"/>
  <c r="C20" i="54"/>
  <c r="D19" i="54"/>
  <c r="E19" i="54" s="1"/>
  <c r="F19" i="54" s="1"/>
  <c r="I19" i="54"/>
  <c r="P23" i="53"/>
  <c r="P11" i="43" s="1"/>
  <c r="C19" i="53"/>
  <c r="D18" i="53"/>
  <c r="C13" i="50"/>
  <c r="C14" i="50" s="1"/>
  <c r="K12" i="50"/>
  <c r="I12" i="50"/>
  <c r="G12" i="50"/>
  <c r="M8" i="50"/>
  <c r="P7" i="50"/>
  <c r="O6" i="50"/>
  <c r="G61" i="50"/>
  <c r="D12" i="50"/>
  <c r="E12" i="50" s="1"/>
  <c r="F12" i="50" s="1"/>
  <c r="C13" i="49"/>
  <c r="K13" i="49" s="1"/>
  <c r="K12" i="49"/>
  <c r="I12" i="49"/>
  <c r="G12" i="49"/>
  <c r="D12" i="49"/>
  <c r="E12" i="49" s="1"/>
  <c r="F12" i="49" s="1"/>
  <c r="C13" i="48"/>
  <c r="K12" i="48"/>
  <c r="I12" i="48"/>
  <c r="G12" i="48"/>
  <c r="M6" i="48"/>
  <c r="G61" i="48" s="1"/>
  <c r="D12" i="48"/>
  <c r="E12" i="48" s="1"/>
  <c r="F12" i="48" s="1"/>
  <c r="C13" i="47"/>
  <c r="C14" i="47" s="1"/>
  <c r="K12" i="47"/>
  <c r="I12" i="47"/>
  <c r="G12" i="47"/>
  <c r="P7" i="47"/>
  <c r="O6" i="47"/>
  <c r="M6" i="47"/>
  <c r="M8" i="47" s="1"/>
  <c r="I6" i="47"/>
  <c r="D12" i="47" s="1"/>
  <c r="E12" i="47" s="1"/>
  <c r="F12" i="47" s="1"/>
  <c r="M6" i="15"/>
  <c r="G61" i="15" s="1"/>
  <c r="O6" i="15"/>
  <c r="P7" i="15"/>
  <c r="P24" i="53" l="1"/>
  <c r="P12" i="43" s="1"/>
  <c r="B18" i="53"/>
  <c r="G19" i="54"/>
  <c r="I20" i="54"/>
  <c r="C21" i="54"/>
  <c r="D20" i="54"/>
  <c r="E20" i="54" s="1"/>
  <c r="F20" i="54" s="1"/>
  <c r="E18" i="53"/>
  <c r="M12" i="15"/>
  <c r="M11" i="15"/>
  <c r="C20" i="53"/>
  <c r="D19" i="53"/>
  <c r="G14" i="50"/>
  <c r="D14" i="50"/>
  <c r="E14" i="50" s="1"/>
  <c r="F14" i="50" s="1"/>
  <c r="C15" i="50"/>
  <c r="K14" i="50"/>
  <c r="I14" i="50"/>
  <c r="G13" i="50"/>
  <c r="D13" i="50"/>
  <c r="E13" i="50" s="1"/>
  <c r="F13" i="50" s="1"/>
  <c r="C14" i="49"/>
  <c r="I14" i="49" s="1"/>
  <c r="I13" i="50"/>
  <c r="K13" i="50"/>
  <c r="G61" i="49"/>
  <c r="M8" i="49"/>
  <c r="C14" i="48"/>
  <c r="D14" i="48" s="1"/>
  <c r="E14" i="48" s="1"/>
  <c r="F14" i="48" s="1"/>
  <c r="K13" i="48"/>
  <c r="I13" i="48"/>
  <c r="I13" i="49"/>
  <c r="G13" i="49"/>
  <c r="D13" i="49"/>
  <c r="E13" i="49" s="1"/>
  <c r="F13" i="49" s="1"/>
  <c r="M8" i="48"/>
  <c r="G61" i="47"/>
  <c r="C15" i="48"/>
  <c r="G13" i="48"/>
  <c r="D13" i="48"/>
  <c r="E13" i="48" s="1"/>
  <c r="F13" i="48" s="1"/>
  <c r="I14" i="47"/>
  <c r="G14" i="47"/>
  <c r="C15" i="47"/>
  <c r="K14" i="47"/>
  <c r="D14" i="47"/>
  <c r="E14" i="47" s="1"/>
  <c r="F14" i="47" s="1"/>
  <c r="K13" i="47"/>
  <c r="I13" i="47"/>
  <c r="G13" i="47"/>
  <c r="D13" i="47"/>
  <c r="E13" i="47" s="1"/>
  <c r="F13" i="47" s="1"/>
  <c r="P25" i="53" l="1"/>
  <c r="P13" i="43" s="1"/>
  <c r="B19" i="53"/>
  <c r="G20" i="54"/>
  <c r="I21" i="54"/>
  <c r="C22" i="54"/>
  <c r="D21" i="54"/>
  <c r="E21" i="54" s="1"/>
  <c r="F21" i="54" s="1"/>
  <c r="G14" i="49"/>
  <c r="E19" i="53"/>
  <c r="C21" i="53"/>
  <c r="D20" i="53"/>
  <c r="D14" i="49"/>
  <c r="E14" i="49" s="1"/>
  <c r="F14" i="49" s="1"/>
  <c r="K14" i="49"/>
  <c r="C15" i="49"/>
  <c r="C16" i="49" s="1"/>
  <c r="C16" i="50"/>
  <c r="D15" i="50"/>
  <c r="E15" i="50" s="1"/>
  <c r="F15" i="50" s="1"/>
  <c r="G15" i="50"/>
  <c r="K15" i="50"/>
  <c r="I15" i="50"/>
  <c r="G14" i="48"/>
  <c r="I14" i="48"/>
  <c r="K14" i="48"/>
  <c r="C16" i="48"/>
  <c r="D15" i="48"/>
  <c r="E15" i="48" s="1"/>
  <c r="F15" i="48" s="1"/>
  <c r="K15" i="48"/>
  <c r="G15" i="48"/>
  <c r="I15" i="48"/>
  <c r="C16" i="47"/>
  <c r="D15" i="47"/>
  <c r="E15" i="47" s="1"/>
  <c r="F15" i="47" s="1"/>
  <c r="I15" i="47"/>
  <c r="G15" i="47"/>
  <c r="K15" i="47"/>
  <c r="P26" i="53" l="1"/>
  <c r="P14" i="43" s="1"/>
  <c r="B20" i="53"/>
  <c r="G21" i="54"/>
  <c r="I22" i="54"/>
  <c r="C23" i="54"/>
  <c r="D22" i="54"/>
  <c r="E22" i="54" s="1"/>
  <c r="F22" i="54" s="1"/>
  <c r="G15" i="49"/>
  <c r="E20" i="53"/>
  <c r="D21" i="53"/>
  <c r="C22" i="53"/>
  <c r="D15" i="49"/>
  <c r="E15" i="49" s="1"/>
  <c r="F15" i="49" s="1"/>
  <c r="I15" i="49"/>
  <c r="K15" i="49"/>
  <c r="C17" i="50"/>
  <c r="D16" i="50"/>
  <c r="E16" i="50" s="1"/>
  <c r="F16" i="50" s="1"/>
  <c r="I16" i="50"/>
  <c r="C17" i="49"/>
  <c r="D16" i="49"/>
  <c r="E16" i="49" s="1"/>
  <c r="F16" i="49" s="1"/>
  <c r="I16" i="49"/>
  <c r="C17" i="48"/>
  <c r="D16" i="48"/>
  <c r="E16" i="48" s="1"/>
  <c r="F16" i="48" s="1"/>
  <c r="I16" i="48"/>
  <c r="I16" i="47"/>
  <c r="C17" i="47"/>
  <c r="D16" i="47"/>
  <c r="E16" i="47" s="1"/>
  <c r="F16" i="47" s="1"/>
  <c r="P27" i="53" l="1"/>
  <c r="P15" i="43" s="1"/>
  <c r="B21" i="53"/>
  <c r="G22" i="54"/>
  <c r="C24" i="54"/>
  <c r="D23" i="54"/>
  <c r="E23" i="54" s="1"/>
  <c r="F23" i="54" s="1"/>
  <c r="I23" i="54"/>
  <c r="E21" i="53"/>
  <c r="C23" i="53"/>
  <c r="D22" i="53"/>
  <c r="P28" i="53" s="1"/>
  <c r="P16" i="43" s="1"/>
  <c r="G16" i="50"/>
  <c r="C18" i="50"/>
  <c r="D17" i="50"/>
  <c r="E17" i="50" s="1"/>
  <c r="F17" i="50" s="1"/>
  <c r="I17" i="50"/>
  <c r="G16" i="49"/>
  <c r="C18" i="49"/>
  <c r="D17" i="49"/>
  <c r="E17" i="49" s="1"/>
  <c r="F17" i="49" s="1"/>
  <c r="I17" i="49"/>
  <c r="G16" i="48"/>
  <c r="C18" i="48"/>
  <c r="I17" i="48"/>
  <c r="D17" i="48"/>
  <c r="E17" i="48" s="1"/>
  <c r="F17" i="48" s="1"/>
  <c r="G16" i="47"/>
  <c r="I17" i="47"/>
  <c r="D17" i="47"/>
  <c r="E17" i="47" s="1"/>
  <c r="F17" i="47" s="1"/>
  <c r="C18" i="47"/>
  <c r="G23" i="54" l="1"/>
  <c r="D24" i="54"/>
  <c r="E24" i="54" s="1"/>
  <c r="F24" i="54" s="1"/>
  <c r="C25" i="54"/>
  <c r="I24" i="54"/>
  <c r="E22" i="53"/>
  <c r="C24" i="53"/>
  <c r="D23" i="53"/>
  <c r="P29" i="53" s="1"/>
  <c r="P17" i="43" s="1"/>
  <c r="G17" i="50"/>
  <c r="I18" i="50"/>
  <c r="C19" i="50"/>
  <c r="D18" i="50"/>
  <c r="E18" i="50" s="1"/>
  <c r="F18" i="50" s="1"/>
  <c r="G17" i="49"/>
  <c r="C19" i="49"/>
  <c r="D18" i="49"/>
  <c r="E18" i="49" s="1"/>
  <c r="F18" i="49" s="1"/>
  <c r="I18" i="49"/>
  <c r="G17" i="48"/>
  <c r="I18" i="48"/>
  <c r="C19" i="48"/>
  <c r="D18" i="48"/>
  <c r="E18" i="48" s="1"/>
  <c r="F18" i="48" s="1"/>
  <c r="G17" i="47"/>
  <c r="I18" i="47"/>
  <c r="C19" i="47"/>
  <c r="D18" i="47"/>
  <c r="E18" i="47" s="1"/>
  <c r="F18" i="47" s="1"/>
  <c r="G24" i="54" l="1"/>
  <c r="D25" i="54"/>
  <c r="E25" i="54" s="1"/>
  <c r="F25" i="54" s="1"/>
  <c r="C26" i="54"/>
  <c r="I25" i="54"/>
  <c r="E23" i="53"/>
  <c r="D24" i="53"/>
  <c r="P30" i="53" s="1"/>
  <c r="P18" i="43" s="1"/>
  <c r="C25" i="53"/>
  <c r="G18" i="50"/>
  <c r="I19" i="50"/>
  <c r="C20" i="50"/>
  <c r="D19" i="50"/>
  <c r="E19" i="50" s="1"/>
  <c r="F19" i="50" s="1"/>
  <c r="G18" i="49"/>
  <c r="C20" i="49"/>
  <c r="D19" i="49"/>
  <c r="E19" i="49" s="1"/>
  <c r="F19" i="49" s="1"/>
  <c r="I19" i="49"/>
  <c r="G18" i="48"/>
  <c r="I19" i="48"/>
  <c r="D19" i="48"/>
  <c r="E19" i="48" s="1"/>
  <c r="F19" i="48" s="1"/>
  <c r="C20" i="48"/>
  <c r="G18" i="47"/>
  <c r="I19" i="47"/>
  <c r="D19" i="47"/>
  <c r="E19" i="47" s="1"/>
  <c r="F19" i="47" s="1"/>
  <c r="C20" i="47"/>
  <c r="G25" i="54" l="1"/>
  <c r="D26" i="54"/>
  <c r="E26" i="54" s="1"/>
  <c r="F26" i="54" s="1"/>
  <c r="C27" i="54"/>
  <c r="I26" i="54"/>
  <c r="E24" i="53"/>
  <c r="D25" i="53"/>
  <c r="P31" i="53" s="1"/>
  <c r="P19" i="43" s="1"/>
  <c r="C26" i="53"/>
  <c r="G19" i="50"/>
  <c r="I20" i="50"/>
  <c r="C21" i="50"/>
  <c r="D20" i="50"/>
  <c r="E20" i="50" s="1"/>
  <c r="F20" i="50" s="1"/>
  <c r="G19" i="49"/>
  <c r="I20" i="49"/>
  <c r="D20" i="49"/>
  <c r="E20" i="49" s="1"/>
  <c r="F20" i="49" s="1"/>
  <c r="C21" i="49"/>
  <c r="G19" i="48"/>
  <c r="D20" i="48"/>
  <c r="E20" i="48" s="1"/>
  <c r="F20" i="48" s="1"/>
  <c r="C21" i="48"/>
  <c r="I20" i="48"/>
  <c r="G19" i="47"/>
  <c r="I20" i="47"/>
  <c r="C21" i="47"/>
  <c r="D20" i="47"/>
  <c r="E20" i="47" s="1"/>
  <c r="F20" i="47" s="1"/>
  <c r="G26" i="54" l="1"/>
  <c r="C28" i="54"/>
  <c r="D27" i="54"/>
  <c r="E27" i="54" s="1"/>
  <c r="F27" i="54" s="1"/>
  <c r="I27" i="54"/>
  <c r="E25" i="53"/>
  <c r="D26" i="53"/>
  <c r="C27" i="53"/>
  <c r="G20" i="50"/>
  <c r="C22" i="50"/>
  <c r="I21" i="50"/>
  <c r="D21" i="50"/>
  <c r="E21" i="50" s="1"/>
  <c r="F21" i="50" s="1"/>
  <c r="G20" i="49"/>
  <c r="I21" i="49"/>
  <c r="C22" i="49"/>
  <c r="D21" i="49"/>
  <c r="E21" i="49" s="1"/>
  <c r="F21" i="49" s="1"/>
  <c r="G20" i="48"/>
  <c r="C22" i="48"/>
  <c r="I21" i="48"/>
  <c r="D21" i="48"/>
  <c r="E21" i="48" s="1"/>
  <c r="F21" i="48" s="1"/>
  <c r="G20" i="47"/>
  <c r="I21" i="47"/>
  <c r="D21" i="47"/>
  <c r="E21" i="47" s="1"/>
  <c r="F21" i="47" s="1"/>
  <c r="C22" i="47"/>
  <c r="G27" i="54" l="1"/>
  <c r="D28" i="54"/>
  <c r="E28" i="54" s="1"/>
  <c r="F28" i="54" s="1"/>
  <c r="C29" i="54"/>
  <c r="I28" i="54"/>
  <c r="E26" i="53"/>
  <c r="P32" i="53"/>
  <c r="P20" i="43" s="1"/>
  <c r="D27" i="53"/>
  <c r="P33" i="53" s="1"/>
  <c r="P21" i="43" s="1"/>
  <c r="C28" i="53"/>
  <c r="G21" i="50"/>
  <c r="D22" i="50"/>
  <c r="E22" i="50" s="1"/>
  <c r="F22" i="50" s="1"/>
  <c r="C23" i="50"/>
  <c r="I22" i="50"/>
  <c r="G21" i="49"/>
  <c r="I22" i="49"/>
  <c r="D22" i="49"/>
  <c r="E22" i="49" s="1"/>
  <c r="F22" i="49" s="1"/>
  <c r="C23" i="49"/>
  <c r="G21" i="48"/>
  <c r="C23" i="48"/>
  <c r="I22" i="48"/>
  <c r="D22" i="48"/>
  <c r="E22" i="48" s="1"/>
  <c r="F22" i="48" s="1"/>
  <c r="G21" i="47"/>
  <c r="C23" i="47"/>
  <c r="I22" i="47"/>
  <c r="D22" i="47"/>
  <c r="E22" i="47" s="1"/>
  <c r="F22" i="47" s="1"/>
  <c r="R51" i="44"/>
  <c r="Q51" i="44"/>
  <c r="P51" i="44"/>
  <c r="O51" i="44"/>
  <c r="N51" i="44"/>
  <c r="M51" i="44"/>
  <c r="L51" i="44"/>
  <c r="K51" i="44"/>
  <c r="J51" i="44"/>
  <c r="I51" i="44"/>
  <c r="H51" i="44"/>
  <c r="G51" i="44"/>
  <c r="F51" i="44"/>
  <c r="E51" i="44"/>
  <c r="D51" i="44"/>
  <c r="C51" i="44"/>
  <c r="T51" i="44" s="1"/>
  <c r="C50" i="44"/>
  <c r="R50" i="44"/>
  <c r="Q50" i="44"/>
  <c r="P50" i="44"/>
  <c r="O50" i="44"/>
  <c r="N50" i="44"/>
  <c r="M50" i="44"/>
  <c r="L50" i="44"/>
  <c r="K50" i="44"/>
  <c r="J50" i="44"/>
  <c r="I50" i="44"/>
  <c r="H50" i="44"/>
  <c r="G50" i="44"/>
  <c r="F50" i="44"/>
  <c r="E50" i="44"/>
  <c r="D50" i="44"/>
  <c r="U50" i="44" s="1"/>
  <c r="AI48" i="44"/>
  <c r="AH48" i="44"/>
  <c r="AG48" i="44"/>
  <c r="AF48" i="44"/>
  <c r="AE48" i="44"/>
  <c r="AD48" i="44"/>
  <c r="AC48" i="44"/>
  <c r="AB48" i="44"/>
  <c r="AA48" i="44"/>
  <c r="Z48" i="44"/>
  <c r="Y48" i="44"/>
  <c r="X48" i="44"/>
  <c r="W48" i="44"/>
  <c r="V48" i="44"/>
  <c r="U48" i="44"/>
  <c r="T48" i="44"/>
  <c r="AI47" i="44"/>
  <c r="AH47" i="44"/>
  <c r="AG47" i="44"/>
  <c r="AF47" i="44"/>
  <c r="AE47" i="44"/>
  <c r="AD47" i="44"/>
  <c r="AC47" i="44"/>
  <c r="AB47" i="44"/>
  <c r="AA47" i="44"/>
  <c r="Z47" i="44"/>
  <c r="Y47" i="44"/>
  <c r="X47" i="44"/>
  <c r="W47" i="44"/>
  <c r="V47" i="44"/>
  <c r="U47" i="44"/>
  <c r="T47" i="44"/>
  <c r="AI46" i="44"/>
  <c r="AH46" i="44"/>
  <c r="AG46" i="44"/>
  <c r="AF46" i="44"/>
  <c r="AE46" i="44"/>
  <c r="AD46" i="44"/>
  <c r="AC46" i="44"/>
  <c r="AB46" i="44"/>
  <c r="AA46" i="44"/>
  <c r="Z46" i="44"/>
  <c r="Y46" i="44"/>
  <c r="X46" i="44"/>
  <c r="W46" i="44"/>
  <c r="V46" i="44"/>
  <c r="U46" i="44"/>
  <c r="T46" i="44"/>
  <c r="AI45" i="44"/>
  <c r="AH45" i="44"/>
  <c r="AG45" i="44"/>
  <c r="AF45" i="44"/>
  <c r="AE45" i="44"/>
  <c r="AD45" i="44"/>
  <c r="AC45" i="44"/>
  <c r="AB45" i="44"/>
  <c r="AA45" i="44"/>
  <c r="Z45" i="44"/>
  <c r="Y45" i="44"/>
  <c r="X45" i="44"/>
  <c r="W45" i="44"/>
  <c r="V45" i="44"/>
  <c r="U45" i="44"/>
  <c r="T45" i="44"/>
  <c r="AI44" i="44"/>
  <c r="AH44" i="44"/>
  <c r="AG44" i="44"/>
  <c r="AF44" i="44"/>
  <c r="AE44" i="44"/>
  <c r="AD44" i="44"/>
  <c r="AC44" i="44"/>
  <c r="AB44" i="44"/>
  <c r="AA44" i="44"/>
  <c r="Z44" i="44"/>
  <c r="Y44" i="44"/>
  <c r="X44" i="44"/>
  <c r="W44" i="44"/>
  <c r="V44" i="44"/>
  <c r="U44" i="44"/>
  <c r="T44" i="44"/>
  <c r="AI43" i="44"/>
  <c r="AH43" i="44"/>
  <c r="AG43" i="44"/>
  <c r="AF43" i="44"/>
  <c r="AE43" i="44"/>
  <c r="AD43" i="44"/>
  <c r="AC43" i="44"/>
  <c r="AB43" i="44"/>
  <c r="AA43" i="44"/>
  <c r="Z43" i="44"/>
  <c r="Y43" i="44"/>
  <c r="X43" i="44"/>
  <c r="W43" i="44"/>
  <c r="V43" i="44"/>
  <c r="U43" i="44"/>
  <c r="T43" i="44"/>
  <c r="AI42" i="44"/>
  <c r="AH42" i="44"/>
  <c r="AG42" i="44"/>
  <c r="AF42" i="44"/>
  <c r="AE42" i="44"/>
  <c r="AD42" i="44"/>
  <c r="AC42" i="44"/>
  <c r="AB42" i="44"/>
  <c r="AA42" i="44"/>
  <c r="Z42" i="44"/>
  <c r="Y42" i="44"/>
  <c r="X42" i="44"/>
  <c r="W42" i="44"/>
  <c r="V42" i="44"/>
  <c r="U42" i="44"/>
  <c r="T42" i="44"/>
  <c r="AI41" i="44"/>
  <c r="AH41" i="44"/>
  <c r="AG41" i="44"/>
  <c r="AF41" i="44"/>
  <c r="AE41" i="44"/>
  <c r="AD41" i="44"/>
  <c r="AC41" i="44"/>
  <c r="AB41" i="44"/>
  <c r="AA41" i="44"/>
  <c r="Z41" i="44"/>
  <c r="Y41" i="44"/>
  <c r="X41" i="44"/>
  <c r="W41" i="44"/>
  <c r="V41" i="44"/>
  <c r="U41" i="44"/>
  <c r="T41" i="44"/>
  <c r="AI40" i="44"/>
  <c r="AH40" i="44"/>
  <c r="AG40" i="44"/>
  <c r="AF40" i="44"/>
  <c r="AE40" i="44"/>
  <c r="AD40" i="44"/>
  <c r="AC40" i="44"/>
  <c r="AB40" i="44"/>
  <c r="AA40" i="44"/>
  <c r="Z40" i="44"/>
  <c r="Y40" i="44"/>
  <c r="X40" i="44"/>
  <c r="W40" i="44"/>
  <c r="V40" i="44"/>
  <c r="U40" i="44"/>
  <c r="T40" i="44"/>
  <c r="AI39" i="44"/>
  <c r="AH39" i="44"/>
  <c r="AG39" i="44"/>
  <c r="AF39" i="44"/>
  <c r="AE39" i="44"/>
  <c r="AD39" i="44"/>
  <c r="AC39" i="44"/>
  <c r="AB39" i="44"/>
  <c r="AA39" i="44"/>
  <c r="Z39" i="44"/>
  <c r="Y39" i="44"/>
  <c r="X39" i="44"/>
  <c r="W39" i="44"/>
  <c r="V39" i="44"/>
  <c r="U39" i="44"/>
  <c r="T39" i="44"/>
  <c r="AI38" i="44"/>
  <c r="AH38" i="44"/>
  <c r="AG38" i="44"/>
  <c r="AF38" i="44"/>
  <c r="AE38" i="44"/>
  <c r="AD38" i="44"/>
  <c r="AC38" i="44"/>
  <c r="AB38" i="44"/>
  <c r="AA38" i="44"/>
  <c r="Z38" i="44"/>
  <c r="Y38" i="44"/>
  <c r="X38" i="44"/>
  <c r="W38" i="44"/>
  <c r="V38" i="44"/>
  <c r="U38" i="44"/>
  <c r="T38" i="44"/>
  <c r="AI37" i="44"/>
  <c r="AH37" i="44"/>
  <c r="AG37" i="44"/>
  <c r="AF37" i="44"/>
  <c r="AE37" i="44"/>
  <c r="AD37" i="44"/>
  <c r="AC37" i="44"/>
  <c r="AB37" i="44"/>
  <c r="AA37" i="44"/>
  <c r="Z37" i="44"/>
  <c r="Y37" i="44"/>
  <c r="X37" i="44"/>
  <c r="W37" i="44"/>
  <c r="V37" i="44"/>
  <c r="U37" i="44"/>
  <c r="T37" i="44"/>
  <c r="AI36" i="44"/>
  <c r="AH36" i="44"/>
  <c r="AG36" i="44"/>
  <c r="AF36" i="44"/>
  <c r="AE36" i="44"/>
  <c r="AD36" i="44"/>
  <c r="AC36" i="44"/>
  <c r="AB36" i="44"/>
  <c r="AA36" i="44"/>
  <c r="Z36" i="44"/>
  <c r="Y36" i="44"/>
  <c r="X36" i="44"/>
  <c r="W36" i="44"/>
  <c r="V36" i="44"/>
  <c r="U36" i="44"/>
  <c r="T36" i="44"/>
  <c r="AI35" i="44"/>
  <c r="AH35" i="44"/>
  <c r="AG35" i="44"/>
  <c r="AF35" i="44"/>
  <c r="AE35" i="44"/>
  <c r="AD35" i="44"/>
  <c r="AC35" i="44"/>
  <c r="AB35" i="44"/>
  <c r="AA35" i="44"/>
  <c r="Z35" i="44"/>
  <c r="Y35" i="44"/>
  <c r="X35" i="44"/>
  <c r="W35" i="44"/>
  <c r="V35" i="44"/>
  <c r="U35" i="44"/>
  <c r="T35" i="44"/>
  <c r="AI34" i="44"/>
  <c r="AH34" i="44"/>
  <c r="AG34" i="44"/>
  <c r="AF34" i="44"/>
  <c r="AE34" i="44"/>
  <c r="AD34" i="44"/>
  <c r="AC34" i="44"/>
  <c r="AB34" i="44"/>
  <c r="AA34" i="44"/>
  <c r="Z34" i="44"/>
  <c r="Y34" i="44"/>
  <c r="X34" i="44"/>
  <c r="W34" i="44"/>
  <c r="V34" i="44"/>
  <c r="U34" i="44"/>
  <c r="T34" i="44"/>
  <c r="AI33" i="44"/>
  <c r="AH33" i="44"/>
  <c r="AG33" i="44"/>
  <c r="AF33" i="44"/>
  <c r="AE33" i="44"/>
  <c r="AD33" i="44"/>
  <c r="AC33" i="44"/>
  <c r="AB33" i="44"/>
  <c r="AA33" i="44"/>
  <c r="Z33" i="44"/>
  <c r="Y33" i="44"/>
  <c r="X33" i="44"/>
  <c r="W33" i="44"/>
  <c r="V33" i="44"/>
  <c r="U33" i="44"/>
  <c r="T33" i="44"/>
  <c r="AI32" i="44"/>
  <c r="AH32" i="44"/>
  <c r="AG32" i="44"/>
  <c r="AF32" i="44"/>
  <c r="AE32" i="44"/>
  <c r="AD32" i="44"/>
  <c r="AC32" i="44"/>
  <c r="AB32" i="44"/>
  <c r="AA32" i="44"/>
  <c r="Z32" i="44"/>
  <c r="Y32" i="44"/>
  <c r="X32" i="44"/>
  <c r="W32" i="44"/>
  <c r="V32" i="44"/>
  <c r="U32" i="44"/>
  <c r="T32" i="44"/>
  <c r="AI31" i="44"/>
  <c r="AH31" i="44"/>
  <c r="AG31" i="44"/>
  <c r="AF31" i="44"/>
  <c r="AE31" i="44"/>
  <c r="AD31" i="44"/>
  <c r="AC31" i="44"/>
  <c r="AB31" i="44"/>
  <c r="AA31" i="44"/>
  <c r="Z31" i="44"/>
  <c r="Y31" i="44"/>
  <c r="X31" i="44"/>
  <c r="W31" i="44"/>
  <c r="V31" i="44"/>
  <c r="U31" i="44"/>
  <c r="T31" i="44"/>
  <c r="AI30" i="44"/>
  <c r="AH30" i="44"/>
  <c r="AG30" i="44"/>
  <c r="AF30" i="44"/>
  <c r="AE30" i="44"/>
  <c r="AD30" i="44"/>
  <c r="AC30" i="44"/>
  <c r="AB30" i="44"/>
  <c r="AA30" i="44"/>
  <c r="Z30" i="44"/>
  <c r="Y30" i="44"/>
  <c r="X30" i="44"/>
  <c r="W30" i="44"/>
  <c r="V30" i="44"/>
  <c r="U30" i="44"/>
  <c r="T30" i="44"/>
  <c r="AI29" i="44"/>
  <c r="AH29" i="44"/>
  <c r="AG29" i="44"/>
  <c r="AF29" i="44"/>
  <c r="AE29" i="44"/>
  <c r="AD29" i="44"/>
  <c r="AC29" i="44"/>
  <c r="AB29" i="44"/>
  <c r="AA29" i="44"/>
  <c r="Z29" i="44"/>
  <c r="Y29" i="44"/>
  <c r="X29" i="44"/>
  <c r="W29" i="44"/>
  <c r="V29" i="44"/>
  <c r="U29" i="44"/>
  <c r="T29" i="44"/>
  <c r="AI28" i="44"/>
  <c r="AH28" i="44"/>
  <c r="AG28" i="44"/>
  <c r="AF28" i="44"/>
  <c r="AE28" i="44"/>
  <c r="AD28" i="44"/>
  <c r="AC28" i="44"/>
  <c r="AB28" i="44"/>
  <c r="AA28" i="44"/>
  <c r="Z28" i="44"/>
  <c r="Y28" i="44"/>
  <c r="X28" i="44"/>
  <c r="W28" i="44"/>
  <c r="V28" i="44"/>
  <c r="U28" i="44"/>
  <c r="T28" i="44"/>
  <c r="AI27" i="44"/>
  <c r="AH27" i="44"/>
  <c r="AG27" i="44"/>
  <c r="AF27" i="44"/>
  <c r="AE27" i="44"/>
  <c r="AD27" i="44"/>
  <c r="AC27" i="44"/>
  <c r="AB27" i="44"/>
  <c r="AA27" i="44"/>
  <c r="Z27" i="44"/>
  <c r="Y27" i="44"/>
  <c r="X27" i="44"/>
  <c r="W27" i="44"/>
  <c r="V27" i="44"/>
  <c r="U27" i="44"/>
  <c r="T27" i="44"/>
  <c r="AI26" i="44"/>
  <c r="AH26" i="44"/>
  <c r="AG26" i="44"/>
  <c r="AF26" i="44"/>
  <c r="AE26" i="44"/>
  <c r="AD26" i="44"/>
  <c r="AC26" i="44"/>
  <c r="AB26" i="44"/>
  <c r="AA26" i="44"/>
  <c r="Z26" i="44"/>
  <c r="Y26" i="44"/>
  <c r="X26" i="44"/>
  <c r="W26" i="44"/>
  <c r="V26" i="44"/>
  <c r="U26" i="44"/>
  <c r="T26" i="44"/>
  <c r="AI25" i="44"/>
  <c r="AH25" i="44"/>
  <c r="AG25" i="44"/>
  <c r="AF25" i="44"/>
  <c r="AE25" i="44"/>
  <c r="AD25" i="44"/>
  <c r="AC25" i="44"/>
  <c r="AB25" i="44"/>
  <c r="AA25" i="44"/>
  <c r="Z25" i="44"/>
  <c r="Y25" i="44"/>
  <c r="X25" i="44"/>
  <c r="W25" i="44"/>
  <c r="V25" i="44"/>
  <c r="U25" i="44"/>
  <c r="T25" i="44"/>
  <c r="AI24" i="44"/>
  <c r="AH24" i="44"/>
  <c r="AG24" i="44"/>
  <c r="AF24" i="44"/>
  <c r="AE24" i="44"/>
  <c r="AD24" i="44"/>
  <c r="AC24" i="44"/>
  <c r="AB24" i="44"/>
  <c r="AA24" i="44"/>
  <c r="Z24" i="44"/>
  <c r="Y24" i="44"/>
  <c r="X24" i="44"/>
  <c r="W24" i="44"/>
  <c r="V24" i="44"/>
  <c r="U24" i="44"/>
  <c r="T24" i="44"/>
  <c r="AI23" i="44"/>
  <c r="AH23" i="44"/>
  <c r="AG23" i="44"/>
  <c r="AF23" i="44"/>
  <c r="AE23" i="44"/>
  <c r="AD23" i="44"/>
  <c r="AC23" i="44"/>
  <c r="AB23" i="44"/>
  <c r="AA23" i="44"/>
  <c r="Z23" i="44"/>
  <c r="Y23" i="44"/>
  <c r="X23" i="44"/>
  <c r="W23" i="44"/>
  <c r="V23" i="44"/>
  <c r="U23" i="44"/>
  <c r="T23" i="44"/>
  <c r="AI22" i="44"/>
  <c r="AH22" i="44"/>
  <c r="AG22" i="44"/>
  <c r="AF22" i="44"/>
  <c r="AE22" i="44"/>
  <c r="AD22" i="44"/>
  <c r="AC22" i="44"/>
  <c r="AB22" i="44"/>
  <c r="AA22" i="44"/>
  <c r="Z22" i="44"/>
  <c r="Y22" i="44"/>
  <c r="X22" i="44"/>
  <c r="W22" i="44"/>
  <c r="V22" i="44"/>
  <c r="U22" i="44"/>
  <c r="T22" i="44"/>
  <c r="AI21" i="44"/>
  <c r="AH21" i="44"/>
  <c r="AG21" i="44"/>
  <c r="AF21" i="44"/>
  <c r="AE21" i="44"/>
  <c r="AD21" i="44"/>
  <c r="AC21" i="44"/>
  <c r="AB21" i="44"/>
  <c r="AA21" i="44"/>
  <c r="Z21" i="44"/>
  <c r="Y21" i="44"/>
  <c r="X21" i="44"/>
  <c r="W21" i="44"/>
  <c r="V21" i="44"/>
  <c r="U21" i="44"/>
  <c r="T21" i="44"/>
  <c r="AI20" i="44"/>
  <c r="AH20" i="44"/>
  <c r="AG20" i="44"/>
  <c r="AF20" i="44"/>
  <c r="AE20" i="44"/>
  <c r="AD20" i="44"/>
  <c r="AC20" i="44"/>
  <c r="AB20" i="44"/>
  <c r="AA20" i="44"/>
  <c r="Z20" i="44"/>
  <c r="Y20" i="44"/>
  <c r="X20" i="44"/>
  <c r="W20" i="44"/>
  <c r="V20" i="44"/>
  <c r="U20" i="44"/>
  <c r="T20" i="44"/>
  <c r="AI19" i="44"/>
  <c r="AH19" i="44"/>
  <c r="AG19" i="44"/>
  <c r="AF19" i="44"/>
  <c r="AE19" i="44"/>
  <c r="AD19" i="44"/>
  <c r="AC19" i="44"/>
  <c r="AB19" i="44"/>
  <c r="AA19" i="44"/>
  <c r="Z19" i="44"/>
  <c r="Y19" i="44"/>
  <c r="X19" i="44"/>
  <c r="W19" i="44"/>
  <c r="V19" i="44"/>
  <c r="U19" i="44"/>
  <c r="T19" i="44"/>
  <c r="AI18" i="44"/>
  <c r="AH18" i="44"/>
  <c r="AG18" i="44"/>
  <c r="AF18" i="44"/>
  <c r="AE18" i="44"/>
  <c r="AD18" i="44"/>
  <c r="AC18" i="44"/>
  <c r="AB18" i="44"/>
  <c r="AA18" i="44"/>
  <c r="Z18" i="44"/>
  <c r="Y18" i="44"/>
  <c r="X18" i="44"/>
  <c r="W18" i="44"/>
  <c r="V18" i="44"/>
  <c r="U18" i="44"/>
  <c r="T18" i="44"/>
  <c r="AI17" i="44"/>
  <c r="AH17" i="44"/>
  <c r="AG17" i="44"/>
  <c r="AF17" i="44"/>
  <c r="AE17" i="44"/>
  <c r="AD17" i="44"/>
  <c r="AC17" i="44"/>
  <c r="AB17" i="44"/>
  <c r="AA17" i="44"/>
  <c r="Z17" i="44"/>
  <c r="Y17" i="44"/>
  <c r="X17" i="44"/>
  <c r="W17" i="44"/>
  <c r="V17" i="44"/>
  <c r="U17" i="44"/>
  <c r="T17" i="44"/>
  <c r="AI16" i="44"/>
  <c r="AH16" i="44"/>
  <c r="AG16" i="44"/>
  <c r="AF16" i="44"/>
  <c r="AE16" i="44"/>
  <c r="AD16" i="44"/>
  <c r="AC16" i="44"/>
  <c r="AB16" i="44"/>
  <c r="AA16" i="44"/>
  <c r="Z16" i="44"/>
  <c r="Y16" i="44"/>
  <c r="X16" i="44"/>
  <c r="W16" i="44"/>
  <c r="V16" i="44"/>
  <c r="U16" i="44"/>
  <c r="T16" i="44"/>
  <c r="AI15" i="44"/>
  <c r="AH15" i="44"/>
  <c r="AG15" i="44"/>
  <c r="AF15" i="44"/>
  <c r="AE15" i="44"/>
  <c r="AD15" i="44"/>
  <c r="AC15" i="44"/>
  <c r="AB15" i="44"/>
  <c r="AA15" i="44"/>
  <c r="Z15" i="44"/>
  <c r="Y15" i="44"/>
  <c r="X15" i="44"/>
  <c r="W15" i="44"/>
  <c r="V15" i="44"/>
  <c r="U15" i="44"/>
  <c r="T15" i="44"/>
  <c r="AI14" i="44"/>
  <c r="AH14" i="44"/>
  <c r="AG14" i="44"/>
  <c r="AF14" i="44"/>
  <c r="AE14" i="44"/>
  <c r="AD14" i="44"/>
  <c r="AC14" i="44"/>
  <c r="AB14" i="44"/>
  <c r="AA14" i="44"/>
  <c r="Z14" i="44"/>
  <c r="Y14" i="44"/>
  <c r="X14" i="44"/>
  <c r="W14" i="44"/>
  <c r="V14" i="44"/>
  <c r="U14" i="44"/>
  <c r="T14" i="44"/>
  <c r="AI13" i="44"/>
  <c r="AH13" i="44"/>
  <c r="AG13" i="44"/>
  <c r="AF13" i="44"/>
  <c r="AE13" i="44"/>
  <c r="AD13" i="44"/>
  <c r="AC13" i="44"/>
  <c r="AB13" i="44"/>
  <c r="AA13" i="44"/>
  <c r="Z13" i="44"/>
  <c r="Y13" i="44"/>
  <c r="X13" i="44"/>
  <c r="W13" i="44"/>
  <c r="V13" i="44"/>
  <c r="U13" i="44"/>
  <c r="T13" i="44"/>
  <c r="AI12" i="44"/>
  <c r="AH12" i="44"/>
  <c r="AG12" i="44"/>
  <c r="AF12" i="44"/>
  <c r="AE12" i="44"/>
  <c r="AD12" i="44"/>
  <c r="AC12" i="44"/>
  <c r="AB12" i="44"/>
  <c r="AA12" i="44"/>
  <c r="Z12" i="44"/>
  <c r="Y12" i="44"/>
  <c r="X12" i="44"/>
  <c r="W12" i="44"/>
  <c r="V12" i="44"/>
  <c r="U12" i="44"/>
  <c r="T12" i="44"/>
  <c r="AI11" i="44"/>
  <c r="AH11" i="44"/>
  <c r="AG11" i="44"/>
  <c r="AF11" i="44"/>
  <c r="AE11" i="44"/>
  <c r="AD11" i="44"/>
  <c r="AC11" i="44"/>
  <c r="AB11" i="44"/>
  <c r="AA11" i="44"/>
  <c r="Z11" i="44"/>
  <c r="Y11" i="44"/>
  <c r="X11" i="44"/>
  <c r="W11" i="44"/>
  <c r="V11" i="44"/>
  <c r="U11" i="44"/>
  <c r="T11" i="44"/>
  <c r="AI10" i="44"/>
  <c r="AH10" i="44"/>
  <c r="AG10" i="44"/>
  <c r="AF10" i="44"/>
  <c r="AE10" i="44"/>
  <c r="AD10" i="44"/>
  <c r="AC10" i="44"/>
  <c r="AB10" i="44"/>
  <c r="AA10" i="44"/>
  <c r="Z10" i="44"/>
  <c r="Y10" i="44"/>
  <c r="X10" i="44"/>
  <c r="W10" i="44"/>
  <c r="V10" i="44"/>
  <c r="U10" i="44"/>
  <c r="T10" i="44"/>
  <c r="AI9" i="44"/>
  <c r="AH9" i="44"/>
  <c r="AG9" i="44"/>
  <c r="AF9" i="44"/>
  <c r="AE9" i="44"/>
  <c r="AD9" i="44"/>
  <c r="AC9" i="44"/>
  <c r="AB9" i="44"/>
  <c r="AA9" i="44"/>
  <c r="Z9" i="44"/>
  <c r="Y9" i="44"/>
  <c r="X9" i="44"/>
  <c r="W9" i="44"/>
  <c r="V9" i="44"/>
  <c r="U9" i="44"/>
  <c r="T9" i="44"/>
  <c r="AI8" i="44"/>
  <c r="AH8" i="44"/>
  <c r="AG8" i="44"/>
  <c r="AF8" i="44"/>
  <c r="AE8" i="44"/>
  <c r="AD8" i="44"/>
  <c r="AC8" i="44"/>
  <c r="AB8" i="44"/>
  <c r="AA8" i="44"/>
  <c r="Z8" i="44"/>
  <c r="Y8" i="44"/>
  <c r="X8" i="44"/>
  <c r="W8" i="44"/>
  <c r="V8" i="44"/>
  <c r="U8" i="44"/>
  <c r="T8" i="44"/>
  <c r="AI7" i="44"/>
  <c r="AH7" i="44"/>
  <c r="AG7" i="44"/>
  <c r="AF7" i="44"/>
  <c r="AE7" i="44"/>
  <c r="AD7" i="44"/>
  <c r="AC7" i="44"/>
  <c r="AB7" i="44"/>
  <c r="AA7" i="44"/>
  <c r="Z7" i="44"/>
  <c r="Y7" i="44"/>
  <c r="X7" i="44"/>
  <c r="W7" i="44"/>
  <c r="V7" i="44"/>
  <c r="U7" i="44"/>
  <c r="T7" i="44"/>
  <c r="AI6" i="44"/>
  <c r="AH6" i="44"/>
  <c r="AG6" i="44"/>
  <c r="AF6" i="44"/>
  <c r="AE6" i="44"/>
  <c r="AD6" i="44"/>
  <c r="AC6" i="44"/>
  <c r="AB6" i="44"/>
  <c r="AA6" i="44"/>
  <c r="Z6" i="44"/>
  <c r="Y6" i="44"/>
  <c r="X6" i="44"/>
  <c r="W6" i="44"/>
  <c r="V6" i="44"/>
  <c r="U6" i="44"/>
  <c r="T6" i="44"/>
  <c r="AI5" i="44"/>
  <c r="AH5" i="44"/>
  <c r="AG5" i="44"/>
  <c r="AF5" i="44"/>
  <c r="AE5" i="44"/>
  <c r="AD5" i="44"/>
  <c r="AC5" i="44"/>
  <c r="AB5" i="44"/>
  <c r="AA5" i="44"/>
  <c r="Z5" i="44"/>
  <c r="Y5" i="44"/>
  <c r="X5" i="44"/>
  <c r="W5" i="44"/>
  <c r="V5" i="44"/>
  <c r="U5" i="44"/>
  <c r="T5" i="44"/>
  <c r="AC50" i="44" l="1"/>
  <c r="AB51" i="44"/>
  <c r="AF51" i="44"/>
  <c r="Z50" i="44"/>
  <c r="AH50" i="44"/>
  <c r="U51" i="44"/>
  <c r="AC51" i="44"/>
  <c r="AG51" i="44"/>
  <c r="W50" i="44"/>
  <c r="AA50" i="44"/>
  <c r="AE50" i="44"/>
  <c r="AI50" i="44"/>
  <c r="V51" i="44"/>
  <c r="Z51" i="44"/>
  <c r="AD51" i="44"/>
  <c r="AH51" i="44"/>
  <c r="Y50" i="44"/>
  <c r="AG50" i="44"/>
  <c r="X51" i="44"/>
  <c r="V50" i="44"/>
  <c r="AD50" i="44"/>
  <c r="Y51" i="44"/>
  <c r="X50" i="44"/>
  <c r="AB50" i="44"/>
  <c r="AF50" i="44"/>
  <c r="W51" i="44"/>
  <c r="AA51" i="44"/>
  <c r="AE51" i="44"/>
  <c r="AI51" i="44"/>
  <c r="G28" i="54"/>
  <c r="C30" i="54"/>
  <c r="D29" i="54"/>
  <c r="E29" i="54" s="1"/>
  <c r="F29" i="54" s="1"/>
  <c r="I29" i="54"/>
  <c r="T50" i="44"/>
  <c r="E27" i="53"/>
  <c r="D28" i="53"/>
  <c r="C29" i="53"/>
  <c r="G22" i="50"/>
  <c r="D23" i="50"/>
  <c r="E23" i="50" s="1"/>
  <c r="F23" i="50" s="1"/>
  <c r="C24" i="50"/>
  <c r="I23" i="50"/>
  <c r="G22" i="49"/>
  <c r="I23" i="49"/>
  <c r="C24" i="49"/>
  <c r="D23" i="49"/>
  <c r="E23" i="49" s="1"/>
  <c r="F23" i="49" s="1"/>
  <c r="G22" i="48"/>
  <c r="C24" i="48"/>
  <c r="D23" i="48"/>
  <c r="E23" i="48" s="1"/>
  <c r="F23" i="48" s="1"/>
  <c r="I23" i="48"/>
  <c r="G22" i="47"/>
  <c r="C24" i="47"/>
  <c r="D23" i="47"/>
  <c r="E23" i="47" s="1"/>
  <c r="F23" i="47" s="1"/>
  <c r="I23" i="47"/>
  <c r="G29" i="54" l="1"/>
  <c r="D30" i="54"/>
  <c r="E30" i="54" s="1"/>
  <c r="F30" i="54" s="1"/>
  <c r="C31" i="54"/>
  <c r="I30" i="54"/>
  <c r="E28" i="53"/>
  <c r="P34" i="53"/>
  <c r="P22" i="43" s="1"/>
  <c r="D29" i="53"/>
  <c r="P35" i="53" s="1"/>
  <c r="P23" i="43" s="1"/>
  <c r="C30" i="53"/>
  <c r="G23" i="50"/>
  <c r="C25" i="50"/>
  <c r="D24" i="50"/>
  <c r="E24" i="50" s="1"/>
  <c r="F24" i="50" s="1"/>
  <c r="I24" i="50"/>
  <c r="G23" i="49"/>
  <c r="D24" i="49"/>
  <c r="E24" i="49" s="1"/>
  <c r="F24" i="49" s="1"/>
  <c r="C25" i="49"/>
  <c r="I24" i="49"/>
  <c r="G23" i="48"/>
  <c r="D24" i="48"/>
  <c r="E24" i="48" s="1"/>
  <c r="F24" i="48" s="1"/>
  <c r="C25" i="48"/>
  <c r="I24" i="48"/>
  <c r="G23" i="47"/>
  <c r="C25" i="47"/>
  <c r="D24" i="47"/>
  <c r="E24" i="47" s="1"/>
  <c r="F24" i="47" s="1"/>
  <c r="I24" i="47"/>
  <c r="G30" i="54" l="1"/>
  <c r="D31" i="54"/>
  <c r="E31" i="54" s="1"/>
  <c r="F31" i="54" s="1"/>
  <c r="C32" i="54"/>
  <c r="I31" i="54"/>
  <c r="E29" i="53"/>
  <c r="D30" i="53"/>
  <c r="C31" i="53"/>
  <c r="G24" i="50"/>
  <c r="C26" i="50"/>
  <c r="D25" i="50"/>
  <c r="E25" i="50" s="1"/>
  <c r="F25" i="50" s="1"/>
  <c r="I25" i="50"/>
  <c r="G24" i="49"/>
  <c r="D25" i="49"/>
  <c r="E25" i="49" s="1"/>
  <c r="F25" i="49" s="1"/>
  <c r="I25" i="49"/>
  <c r="C26" i="49"/>
  <c r="G24" i="48"/>
  <c r="D25" i="48"/>
  <c r="E25" i="48" s="1"/>
  <c r="F25" i="48" s="1"/>
  <c r="C26" i="48"/>
  <c r="I25" i="48"/>
  <c r="G24" i="47"/>
  <c r="C26" i="47"/>
  <c r="D25" i="47"/>
  <c r="E25" i="47" s="1"/>
  <c r="F25" i="47" s="1"/>
  <c r="I25" i="47"/>
  <c r="C13" i="15"/>
  <c r="D13" i="15" s="1"/>
  <c r="I12" i="15"/>
  <c r="G31" i="54" l="1"/>
  <c r="D32" i="54"/>
  <c r="E32" i="54" s="1"/>
  <c r="F32" i="54" s="1"/>
  <c r="C33" i="54"/>
  <c r="I32" i="54"/>
  <c r="E30" i="53"/>
  <c r="P36" i="53"/>
  <c r="P24" i="43" s="1"/>
  <c r="D31" i="53"/>
  <c r="P37" i="53" s="1"/>
  <c r="P25" i="43" s="1"/>
  <c r="C32" i="53"/>
  <c r="G25" i="50"/>
  <c r="C27" i="50"/>
  <c r="D26" i="50"/>
  <c r="E26" i="50" s="1"/>
  <c r="F26" i="50" s="1"/>
  <c r="I26" i="50"/>
  <c r="G25" i="49"/>
  <c r="D26" i="49"/>
  <c r="E26" i="49" s="1"/>
  <c r="F26" i="49" s="1"/>
  <c r="C27" i="49"/>
  <c r="I26" i="49"/>
  <c r="G25" i="48"/>
  <c r="D26" i="48"/>
  <c r="E26" i="48" s="1"/>
  <c r="F26" i="48" s="1"/>
  <c r="C27" i="48"/>
  <c r="I26" i="48"/>
  <c r="G25" i="47"/>
  <c r="C27" i="47"/>
  <c r="I26" i="47"/>
  <c r="D26" i="47"/>
  <c r="E26" i="47" s="1"/>
  <c r="F26" i="47" s="1"/>
  <c r="I13" i="15"/>
  <c r="M8" i="15"/>
  <c r="E12" i="15"/>
  <c r="C14" i="15"/>
  <c r="D14" i="15" s="1"/>
  <c r="G32" i="54" l="1"/>
  <c r="C34" i="54"/>
  <c r="D33" i="54"/>
  <c r="E33" i="54" s="1"/>
  <c r="F33" i="54" s="1"/>
  <c r="I33" i="54"/>
  <c r="E31" i="53"/>
  <c r="D32" i="53"/>
  <c r="P38" i="53" s="1"/>
  <c r="P26" i="43" s="1"/>
  <c r="C33" i="53"/>
  <c r="G26" i="50"/>
  <c r="C28" i="50"/>
  <c r="D27" i="50"/>
  <c r="E27" i="50" s="1"/>
  <c r="F27" i="50" s="1"/>
  <c r="I27" i="50"/>
  <c r="G26" i="49"/>
  <c r="D27" i="49"/>
  <c r="E27" i="49" s="1"/>
  <c r="F27" i="49" s="1"/>
  <c r="I27" i="49"/>
  <c r="C28" i="49"/>
  <c r="G26" i="48"/>
  <c r="D27" i="48"/>
  <c r="E27" i="48" s="1"/>
  <c r="F27" i="48" s="1"/>
  <c r="C28" i="48"/>
  <c r="I27" i="48"/>
  <c r="E14" i="15"/>
  <c r="F14" i="15" s="1"/>
  <c r="G26" i="47"/>
  <c r="C28" i="47"/>
  <c r="I27" i="47"/>
  <c r="D27" i="47"/>
  <c r="E27" i="47" s="1"/>
  <c r="F27" i="47" s="1"/>
  <c r="G12" i="15"/>
  <c r="F12" i="15"/>
  <c r="E13" i="15"/>
  <c r="F13" i="15" s="1"/>
  <c r="G13" i="15" s="1"/>
  <c r="C15" i="15"/>
  <c r="D15" i="15" s="1"/>
  <c r="I14" i="15"/>
  <c r="G33" i="54" l="1"/>
  <c r="D34" i="54"/>
  <c r="E34" i="54" s="1"/>
  <c r="F34" i="54" s="1"/>
  <c r="C35" i="54"/>
  <c r="I34" i="54"/>
  <c r="E32" i="53"/>
  <c r="D33" i="53"/>
  <c r="P39" i="53" s="1"/>
  <c r="P27" i="43" s="1"/>
  <c r="C34" i="53"/>
  <c r="G27" i="50"/>
  <c r="D28" i="50"/>
  <c r="E28" i="50" s="1"/>
  <c r="F28" i="50" s="1"/>
  <c r="C29" i="50"/>
  <c r="I28" i="50"/>
  <c r="G27" i="49"/>
  <c r="D28" i="49"/>
  <c r="E28" i="49" s="1"/>
  <c r="F28" i="49" s="1"/>
  <c r="C29" i="49"/>
  <c r="I28" i="49"/>
  <c r="G27" i="48"/>
  <c r="D28" i="48"/>
  <c r="E28" i="48" s="1"/>
  <c r="F28" i="48" s="1"/>
  <c r="C29" i="48"/>
  <c r="I28" i="48"/>
  <c r="E15" i="15"/>
  <c r="F15" i="15" s="1"/>
  <c r="G27" i="47"/>
  <c r="C29" i="47"/>
  <c r="D28" i="47"/>
  <c r="E28" i="47" s="1"/>
  <c r="F28" i="47" s="1"/>
  <c r="I28" i="47"/>
  <c r="G14" i="15"/>
  <c r="I15" i="15"/>
  <c r="C16" i="15"/>
  <c r="D16" i="15" s="1"/>
  <c r="G34" i="54" l="1"/>
  <c r="D35" i="54"/>
  <c r="E35" i="54" s="1"/>
  <c r="F35" i="54" s="1"/>
  <c r="C36" i="54"/>
  <c r="I35" i="54"/>
  <c r="E33" i="53"/>
  <c r="D34" i="53"/>
  <c r="P40" i="53" s="1"/>
  <c r="P28" i="43" s="1"/>
  <c r="C35" i="53"/>
  <c r="G28" i="50"/>
  <c r="C30" i="50"/>
  <c r="D29" i="50"/>
  <c r="E29" i="50" s="1"/>
  <c r="F29" i="50" s="1"/>
  <c r="I29" i="50"/>
  <c r="G28" i="49"/>
  <c r="D29" i="49"/>
  <c r="E29" i="49" s="1"/>
  <c r="F29" i="49" s="1"/>
  <c r="I29" i="49"/>
  <c r="C30" i="49"/>
  <c r="G28" i="48"/>
  <c r="D29" i="48"/>
  <c r="E29" i="48" s="1"/>
  <c r="F29" i="48" s="1"/>
  <c r="C30" i="48"/>
  <c r="I29" i="48"/>
  <c r="E16" i="15"/>
  <c r="F16" i="15" s="1"/>
  <c r="G28" i="47"/>
  <c r="C30" i="47"/>
  <c r="D29" i="47"/>
  <c r="E29" i="47" s="1"/>
  <c r="F29" i="47" s="1"/>
  <c r="I29" i="47"/>
  <c r="G15" i="15"/>
  <c r="I16" i="15"/>
  <c r="C17" i="15"/>
  <c r="D17" i="15" s="1"/>
  <c r="B17" i="15" s="1"/>
  <c r="G35" i="54" l="1"/>
  <c r="C37" i="54"/>
  <c r="D36" i="54"/>
  <c r="E36" i="54" s="1"/>
  <c r="F36" i="54" s="1"/>
  <c r="I36" i="54"/>
  <c r="E34" i="53"/>
  <c r="D35" i="53"/>
  <c r="P41" i="53" s="1"/>
  <c r="P29" i="43" s="1"/>
  <c r="C36" i="53"/>
  <c r="G29" i="50"/>
  <c r="C31" i="50"/>
  <c r="D30" i="50"/>
  <c r="E30" i="50" s="1"/>
  <c r="F30" i="50" s="1"/>
  <c r="I30" i="50"/>
  <c r="G29" i="49"/>
  <c r="D30" i="49"/>
  <c r="E30" i="49" s="1"/>
  <c r="F30" i="49" s="1"/>
  <c r="C31" i="49"/>
  <c r="I30" i="49"/>
  <c r="G29" i="48"/>
  <c r="D30" i="48"/>
  <c r="E30" i="48" s="1"/>
  <c r="F30" i="48" s="1"/>
  <c r="C31" i="48"/>
  <c r="I30" i="48"/>
  <c r="E17" i="15"/>
  <c r="F17" i="15" s="1"/>
  <c r="G29" i="47"/>
  <c r="C31" i="47"/>
  <c r="I30" i="47"/>
  <c r="D30" i="47"/>
  <c r="E30" i="47" s="1"/>
  <c r="F30" i="47" s="1"/>
  <c r="G16" i="15"/>
  <c r="I17" i="15"/>
  <c r="C18" i="15"/>
  <c r="D18" i="15" s="1"/>
  <c r="G36" i="54" l="1"/>
  <c r="D37" i="54"/>
  <c r="E37" i="54" s="1"/>
  <c r="F37" i="54" s="1"/>
  <c r="I37" i="54"/>
  <c r="C38" i="54"/>
  <c r="E35" i="53"/>
  <c r="C37" i="53"/>
  <c r="D36" i="53"/>
  <c r="P42" i="53" s="1"/>
  <c r="P30" i="43" s="1"/>
  <c r="G30" i="50"/>
  <c r="C32" i="50"/>
  <c r="D31" i="50"/>
  <c r="E31" i="50" s="1"/>
  <c r="F31" i="50" s="1"/>
  <c r="I31" i="50"/>
  <c r="G30" i="49"/>
  <c r="D31" i="49"/>
  <c r="E31" i="49" s="1"/>
  <c r="F31" i="49" s="1"/>
  <c r="I31" i="49"/>
  <c r="C32" i="49"/>
  <c r="G30" i="48"/>
  <c r="D31" i="48"/>
  <c r="E31" i="48" s="1"/>
  <c r="F31" i="48" s="1"/>
  <c r="C32" i="48"/>
  <c r="I31" i="48"/>
  <c r="G30" i="47"/>
  <c r="C32" i="47"/>
  <c r="I31" i="47"/>
  <c r="D31" i="47"/>
  <c r="E31" i="47" s="1"/>
  <c r="F31" i="47" s="1"/>
  <c r="G17" i="15"/>
  <c r="C19" i="15"/>
  <c r="D19" i="15" s="1"/>
  <c r="E18" i="15"/>
  <c r="F18" i="15" s="1"/>
  <c r="I18" i="15"/>
  <c r="G37" i="54" l="1"/>
  <c r="C39" i="54"/>
  <c r="D38" i="54"/>
  <c r="E38" i="54" s="1"/>
  <c r="F38" i="54" s="1"/>
  <c r="I38" i="54"/>
  <c r="E36" i="53"/>
  <c r="C38" i="53"/>
  <c r="D37" i="53"/>
  <c r="P43" i="53" s="1"/>
  <c r="P31" i="43" s="1"/>
  <c r="G31" i="50"/>
  <c r="C33" i="50"/>
  <c r="D32" i="50"/>
  <c r="E32" i="50" s="1"/>
  <c r="F32" i="50" s="1"/>
  <c r="I32" i="50"/>
  <c r="G31" i="49"/>
  <c r="D32" i="49"/>
  <c r="E32" i="49" s="1"/>
  <c r="F32" i="49" s="1"/>
  <c r="C33" i="49"/>
  <c r="I32" i="49"/>
  <c r="G31" i="48"/>
  <c r="D32" i="48"/>
  <c r="E32" i="48" s="1"/>
  <c r="F32" i="48" s="1"/>
  <c r="C33" i="48"/>
  <c r="I32" i="48"/>
  <c r="E19" i="15"/>
  <c r="F19" i="15" s="1"/>
  <c r="G31" i="47"/>
  <c r="C33" i="47"/>
  <c r="D32" i="47"/>
  <c r="E32" i="47" s="1"/>
  <c r="F32" i="47" s="1"/>
  <c r="I32" i="47"/>
  <c r="G18" i="15"/>
  <c r="I19" i="15"/>
  <c r="C20" i="15"/>
  <c r="D20" i="15" s="1"/>
  <c r="G38" i="54" l="1"/>
  <c r="C40" i="54"/>
  <c r="D39" i="54"/>
  <c r="E39" i="54" s="1"/>
  <c r="F39" i="54" s="1"/>
  <c r="I39" i="54"/>
  <c r="E37" i="53"/>
  <c r="C39" i="53"/>
  <c r="D38" i="53"/>
  <c r="P44" i="53" s="1"/>
  <c r="G32" i="50"/>
  <c r="C34" i="50"/>
  <c r="D33" i="50"/>
  <c r="E33" i="50" s="1"/>
  <c r="F33" i="50" s="1"/>
  <c r="I33" i="50"/>
  <c r="G32" i="49"/>
  <c r="D33" i="49"/>
  <c r="E33" i="49" s="1"/>
  <c r="F33" i="49" s="1"/>
  <c r="I33" i="49"/>
  <c r="C34" i="49"/>
  <c r="G32" i="48"/>
  <c r="D33" i="48"/>
  <c r="E33" i="48" s="1"/>
  <c r="F33" i="48" s="1"/>
  <c r="C34" i="48"/>
  <c r="I33" i="48"/>
  <c r="E20" i="15"/>
  <c r="F20" i="15" s="1"/>
  <c r="G32" i="47"/>
  <c r="C34" i="47"/>
  <c r="D33" i="47"/>
  <c r="E33" i="47" s="1"/>
  <c r="F33" i="47" s="1"/>
  <c r="I33" i="47"/>
  <c r="G19" i="15"/>
  <c r="C21" i="15"/>
  <c r="D21" i="15" s="1"/>
  <c r="I20" i="15"/>
  <c r="G39" i="54" l="1"/>
  <c r="C41" i="54"/>
  <c r="D40" i="54"/>
  <c r="E40" i="54" s="1"/>
  <c r="F40" i="54" s="1"/>
  <c r="I40" i="54"/>
  <c r="E38" i="53"/>
  <c r="C40" i="53"/>
  <c r="D39" i="53"/>
  <c r="G33" i="50"/>
  <c r="C35" i="50"/>
  <c r="D34" i="50"/>
  <c r="E34" i="50" s="1"/>
  <c r="F34" i="50" s="1"/>
  <c r="I34" i="50"/>
  <c r="G33" i="49"/>
  <c r="D34" i="49"/>
  <c r="E34" i="49" s="1"/>
  <c r="F34" i="49" s="1"/>
  <c r="C35" i="49"/>
  <c r="I34" i="49"/>
  <c r="G33" i="48"/>
  <c r="D34" i="48"/>
  <c r="E34" i="48" s="1"/>
  <c r="F34" i="48" s="1"/>
  <c r="C35" i="48"/>
  <c r="I34" i="48"/>
  <c r="E21" i="15"/>
  <c r="F21" i="15" s="1"/>
  <c r="G33" i="47"/>
  <c r="C35" i="47"/>
  <c r="I34" i="47"/>
  <c r="D34" i="47"/>
  <c r="E34" i="47" s="1"/>
  <c r="F34" i="47" s="1"/>
  <c r="G20" i="15"/>
  <c r="I21" i="15"/>
  <c r="C22" i="15"/>
  <c r="D22" i="15" s="1"/>
  <c r="G40" i="54" l="1"/>
  <c r="C42" i="54"/>
  <c r="D41" i="54"/>
  <c r="E41" i="54" s="1"/>
  <c r="F41" i="54" s="1"/>
  <c r="I41" i="54"/>
  <c r="E39" i="53"/>
  <c r="P45" i="53"/>
  <c r="C41" i="53"/>
  <c r="D40" i="53"/>
  <c r="P46" i="53" s="1"/>
  <c r="G34" i="50"/>
  <c r="C36" i="50"/>
  <c r="D35" i="50"/>
  <c r="E35" i="50" s="1"/>
  <c r="F35" i="50" s="1"/>
  <c r="I35" i="50"/>
  <c r="G34" i="49"/>
  <c r="D35" i="49"/>
  <c r="E35" i="49" s="1"/>
  <c r="F35" i="49" s="1"/>
  <c r="I35" i="49"/>
  <c r="C36" i="49"/>
  <c r="G34" i="48"/>
  <c r="D35" i="48"/>
  <c r="E35" i="48" s="1"/>
  <c r="F35" i="48" s="1"/>
  <c r="C36" i="48"/>
  <c r="I35" i="48"/>
  <c r="E22" i="15"/>
  <c r="F22" i="15" s="1"/>
  <c r="G22" i="15" s="1"/>
  <c r="G34" i="47"/>
  <c r="C36" i="47"/>
  <c r="I35" i="47"/>
  <c r="D35" i="47"/>
  <c r="E35" i="47" s="1"/>
  <c r="F35" i="47" s="1"/>
  <c r="G21" i="15"/>
  <c r="C23" i="15"/>
  <c r="D23" i="15" s="1"/>
  <c r="I22" i="15"/>
  <c r="G41" i="54" l="1"/>
  <c r="C43" i="54"/>
  <c r="D42" i="54"/>
  <c r="E42" i="54" s="1"/>
  <c r="F42" i="54" s="1"/>
  <c r="I42" i="54"/>
  <c r="E40" i="53"/>
  <c r="C42" i="53"/>
  <c r="D41" i="53"/>
  <c r="P47" i="53" s="1"/>
  <c r="G35" i="50"/>
  <c r="C37" i="50"/>
  <c r="D36" i="50"/>
  <c r="E36" i="50" s="1"/>
  <c r="F36" i="50" s="1"/>
  <c r="I36" i="50"/>
  <c r="G35" i="49"/>
  <c r="D36" i="49"/>
  <c r="E36" i="49" s="1"/>
  <c r="F36" i="49" s="1"/>
  <c r="C37" i="49"/>
  <c r="I36" i="49"/>
  <c r="G35" i="48"/>
  <c r="D36" i="48"/>
  <c r="E36" i="48" s="1"/>
  <c r="F36" i="48" s="1"/>
  <c r="C37" i="48"/>
  <c r="I36" i="48"/>
  <c r="E23" i="15"/>
  <c r="F23" i="15" s="1"/>
  <c r="G35" i="47"/>
  <c r="C37" i="47"/>
  <c r="D36" i="47"/>
  <c r="E36" i="47" s="1"/>
  <c r="F36" i="47" s="1"/>
  <c r="I36" i="47"/>
  <c r="I23" i="15"/>
  <c r="C24" i="15"/>
  <c r="D24" i="15" s="1"/>
  <c r="G42" i="54" l="1"/>
  <c r="C44" i="54"/>
  <c r="D43" i="54"/>
  <c r="E43" i="54" s="1"/>
  <c r="F43" i="54" s="1"/>
  <c r="I43" i="54"/>
  <c r="E41" i="53"/>
  <c r="C43" i="53"/>
  <c r="D42" i="53"/>
  <c r="P48" i="53" s="1"/>
  <c r="G36" i="50"/>
  <c r="C38" i="50"/>
  <c r="D37" i="50"/>
  <c r="E37" i="50" s="1"/>
  <c r="F37" i="50" s="1"/>
  <c r="I37" i="50"/>
  <c r="G36" i="49"/>
  <c r="D37" i="49"/>
  <c r="E37" i="49" s="1"/>
  <c r="F37" i="49" s="1"/>
  <c r="I37" i="49"/>
  <c r="C38" i="49"/>
  <c r="G36" i="48"/>
  <c r="D37" i="48"/>
  <c r="E37" i="48" s="1"/>
  <c r="F37" i="48" s="1"/>
  <c r="C38" i="48"/>
  <c r="I37" i="48"/>
  <c r="E24" i="15"/>
  <c r="F24" i="15" s="1"/>
  <c r="G36" i="47"/>
  <c r="C38" i="47"/>
  <c r="D37" i="47"/>
  <c r="E37" i="47" s="1"/>
  <c r="F37" i="47" s="1"/>
  <c r="I37" i="47"/>
  <c r="G23" i="15"/>
  <c r="C25" i="15"/>
  <c r="D25" i="15" s="1"/>
  <c r="G43" i="54" l="1"/>
  <c r="C45" i="54"/>
  <c r="D44" i="54"/>
  <c r="E44" i="54" s="1"/>
  <c r="F44" i="54" s="1"/>
  <c r="I44" i="54"/>
  <c r="E42" i="53"/>
  <c r="C44" i="53"/>
  <c r="D43" i="53"/>
  <c r="P49" i="53" s="1"/>
  <c r="G37" i="50"/>
  <c r="C39" i="50"/>
  <c r="D38" i="50"/>
  <c r="E38" i="50" s="1"/>
  <c r="F38" i="50" s="1"/>
  <c r="I38" i="50"/>
  <c r="G37" i="49"/>
  <c r="D38" i="49"/>
  <c r="E38" i="49" s="1"/>
  <c r="F38" i="49" s="1"/>
  <c r="C39" i="49"/>
  <c r="I38" i="49"/>
  <c r="G37" i="48"/>
  <c r="D38" i="48"/>
  <c r="E38" i="48" s="1"/>
  <c r="F38" i="48" s="1"/>
  <c r="C39" i="48"/>
  <c r="I38" i="48"/>
  <c r="E25" i="15"/>
  <c r="F25" i="15" s="1"/>
  <c r="G37" i="47"/>
  <c r="C39" i="47"/>
  <c r="I38" i="47"/>
  <c r="D38" i="47"/>
  <c r="E38" i="47" s="1"/>
  <c r="F38" i="47" s="1"/>
  <c r="G24" i="15"/>
  <c r="C26" i="15"/>
  <c r="D26" i="15" s="1"/>
  <c r="G44" i="54" l="1"/>
  <c r="C46" i="54"/>
  <c r="D45" i="54"/>
  <c r="E45" i="54" s="1"/>
  <c r="F45" i="54" s="1"/>
  <c r="I45" i="54"/>
  <c r="E43" i="53"/>
  <c r="C45" i="53"/>
  <c r="D44" i="53"/>
  <c r="P50" i="53" s="1"/>
  <c r="G38" i="50"/>
  <c r="C40" i="50"/>
  <c r="D39" i="50"/>
  <c r="E39" i="50" s="1"/>
  <c r="F39" i="50" s="1"/>
  <c r="I39" i="50"/>
  <c r="G38" i="49"/>
  <c r="C40" i="49"/>
  <c r="D39" i="49"/>
  <c r="E39" i="49" s="1"/>
  <c r="F39" i="49" s="1"/>
  <c r="I39" i="49"/>
  <c r="G38" i="48"/>
  <c r="C40" i="48"/>
  <c r="D39" i="48"/>
  <c r="E39" i="48" s="1"/>
  <c r="F39" i="48" s="1"/>
  <c r="I39" i="48"/>
  <c r="E26" i="15"/>
  <c r="F26" i="15" s="1"/>
  <c r="G26" i="15" s="1"/>
  <c r="G38" i="47"/>
  <c r="C40" i="47"/>
  <c r="I39" i="47"/>
  <c r="D39" i="47"/>
  <c r="E39" i="47" s="1"/>
  <c r="F39" i="47" s="1"/>
  <c r="G25" i="15"/>
  <c r="C27" i="15"/>
  <c r="D27" i="15" s="1"/>
  <c r="G45" i="54" l="1"/>
  <c r="C47" i="54"/>
  <c r="D46" i="54"/>
  <c r="E46" i="54" s="1"/>
  <c r="F46" i="54" s="1"/>
  <c r="I46" i="54"/>
  <c r="E44" i="53"/>
  <c r="C46" i="53"/>
  <c r="D45" i="53"/>
  <c r="P51" i="53" s="1"/>
  <c r="G39" i="50"/>
  <c r="D40" i="50"/>
  <c r="E40" i="50" s="1"/>
  <c r="F40" i="50" s="1"/>
  <c r="I40" i="50"/>
  <c r="C41" i="50"/>
  <c r="G39" i="49"/>
  <c r="D40" i="49"/>
  <c r="E40" i="49" s="1"/>
  <c r="F40" i="49" s="1"/>
  <c r="C41" i="49"/>
  <c r="I40" i="49"/>
  <c r="G39" i="48"/>
  <c r="C41" i="48"/>
  <c r="I40" i="48"/>
  <c r="D40" i="48"/>
  <c r="E40" i="48" s="1"/>
  <c r="F40" i="48" s="1"/>
  <c r="E27" i="15"/>
  <c r="F27" i="15" s="1"/>
  <c r="G39" i="47"/>
  <c r="I40" i="47"/>
  <c r="D40" i="47"/>
  <c r="E40" i="47" s="1"/>
  <c r="F40" i="47" s="1"/>
  <c r="C41" i="47"/>
  <c r="C28" i="15"/>
  <c r="D28" i="15" s="1"/>
  <c r="G46" i="54" l="1"/>
  <c r="C48" i="54"/>
  <c r="D47" i="54"/>
  <c r="E47" i="54" s="1"/>
  <c r="F47" i="54" s="1"/>
  <c r="I47" i="54"/>
  <c r="E45" i="53"/>
  <c r="C47" i="53"/>
  <c r="D46" i="53"/>
  <c r="P52" i="53" s="1"/>
  <c r="G40" i="50"/>
  <c r="D41" i="50"/>
  <c r="E41" i="50" s="1"/>
  <c r="F41" i="50" s="1"/>
  <c r="C42" i="50"/>
  <c r="I41" i="50"/>
  <c r="G40" i="49"/>
  <c r="D41" i="49"/>
  <c r="E41" i="49" s="1"/>
  <c r="F41" i="49" s="1"/>
  <c r="C42" i="49"/>
  <c r="I41" i="49"/>
  <c r="G40" i="48"/>
  <c r="C42" i="48"/>
  <c r="I41" i="48"/>
  <c r="D41" i="48"/>
  <c r="E41" i="48" s="1"/>
  <c r="F41" i="48" s="1"/>
  <c r="E28" i="15"/>
  <c r="F28" i="15" s="1"/>
  <c r="G40" i="47"/>
  <c r="I41" i="47"/>
  <c r="D41" i="47"/>
  <c r="E41" i="47" s="1"/>
  <c r="F41" i="47" s="1"/>
  <c r="C42" i="47"/>
  <c r="G27" i="15"/>
  <c r="C29" i="15"/>
  <c r="D29" i="15" s="1"/>
  <c r="G47" i="54" l="1"/>
  <c r="E48" i="54"/>
  <c r="C49" i="54"/>
  <c r="D48" i="54"/>
  <c r="I48" i="54"/>
  <c r="F48" i="54"/>
  <c r="G48" i="54"/>
  <c r="H48" i="54"/>
  <c r="E46" i="53"/>
  <c r="C48" i="53"/>
  <c r="D47" i="53"/>
  <c r="G41" i="50"/>
  <c r="D42" i="50"/>
  <c r="E42" i="50" s="1"/>
  <c r="F42" i="50" s="1"/>
  <c r="I42" i="50"/>
  <c r="C43" i="50"/>
  <c r="G41" i="49"/>
  <c r="D42" i="49"/>
  <c r="E42" i="49" s="1"/>
  <c r="F42" i="49" s="1"/>
  <c r="C43" i="49"/>
  <c r="I42" i="49"/>
  <c r="G41" i="48"/>
  <c r="C43" i="48"/>
  <c r="I42" i="48"/>
  <c r="D42" i="48"/>
  <c r="E42" i="48" s="1"/>
  <c r="F42" i="48" s="1"/>
  <c r="E29" i="15"/>
  <c r="F29" i="15" s="1"/>
  <c r="G41" i="47"/>
  <c r="I42" i="47"/>
  <c r="D42" i="47"/>
  <c r="E42" i="47" s="1"/>
  <c r="F42" i="47" s="1"/>
  <c r="C43" i="47"/>
  <c r="G28" i="15"/>
  <c r="C30" i="15"/>
  <c r="D30" i="15" s="1"/>
  <c r="E49" i="54" l="1"/>
  <c r="C50" i="54"/>
  <c r="D49" i="54"/>
  <c r="I49" i="54"/>
  <c r="F49" i="54"/>
  <c r="H49" i="54"/>
  <c r="G49" i="54"/>
  <c r="E47" i="53"/>
  <c r="P53" i="53"/>
  <c r="E48" i="53"/>
  <c r="C49" i="53"/>
  <c r="D48" i="53"/>
  <c r="P54" i="53" s="1"/>
  <c r="G42" i="50"/>
  <c r="D43" i="50"/>
  <c r="E43" i="50" s="1"/>
  <c r="F43" i="50" s="1"/>
  <c r="C44" i="50"/>
  <c r="I43" i="50"/>
  <c r="G42" i="49"/>
  <c r="D43" i="49"/>
  <c r="E43" i="49" s="1"/>
  <c r="F43" i="49" s="1"/>
  <c r="C44" i="49"/>
  <c r="I43" i="49"/>
  <c r="G42" i="48"/>
  <c r="C44" i="48"/>
  <c r="I43" i="48"/>
  <c r="D43" i="48"/>
  <c r="E43" i="48" s="1"/>
  <c r="F43" i="48" s="1"/>
  <c r="E30" i="15"/>
  <c r="F30" i="15" s="1"/>
  <c r="G42" i="47"/>
  <c r="I43" i="47"/>
  <c r="C44" i="47"/>
  <c r="D43" i="47"/>
  <c r="E43" i="47" s="1"/>
  <c r="F43" i="47" s="1"/>
  <c r="G29" i="15"/>
  <c r="C31" i="15"/>
  <c r="D31" i="15" s="1"/>
  <c r="E50" i="54" l="1"/>
  <c r="C51" i="54"/>
  <c r="D50" i="54"/>
  <c r="I50" i="54"/>
  <c r="F50" i="54"/>
  <c r="H50" i="54"/>
  <c r="G50" i="54"/>
  <c r="E49" i="53"/>
  <c r="C50" i="53"/>
  <c r="D49" i="53"/>
  <c r="P55" i="53" s="1"/>
  <c r="G43" i="50"/>
  <c r="D44" i="50"/>
  <c r="E44" i="50" s="1"/>
  <c r="F44" i="50" s="1"/>
  <c r="I44" i="50"/>
  <c r="C45" i="50"/>
  <c r="G43" i="49"/>
  <c r="D44" i="49"/>
  <c r="E44" i="49" s="1"/>
  <c r="F44" i="49" s="1"/>
  <c r="C45" i="49"/>
  <c r="I44" i="49"/>
  <c r="G43" i="48"/>
  <c r="C45" i="48"/>
  <c r="I44" i="48"/>
  <c r="D44" i="48"/>
  <c r="E44" i="48" s="1"/>
  <c r="F44" i="48" s="1"/>
  <c r="G43" i="47"/>
  <c r="I44" i="47"/>
  <c r="D44" i="47"/>
  <c r="E44" i="47" s="1"/>
  <c r="F44" i="47" s="1"/>
  <c r="C45" i="47"/>
  <c r="G30" i="15"/>
  <c r="E31" i="15"/>
  <c r="F31" i="15" s="1"/>
  <c r="C32" i="15"/>
  <c r="D32" i="15" s="1"/>
  <c r="E51" i="54" l="1"/>
  <c r="C52" i="54"/>
  <c r="D51" i="54"/>
  <c r="I51" i="54"/>
  <c r="F51" i="54"/>
  <c r="H51" i="54"/>
  <c r="G51" i="54"/>
  <c r="E50" i="53"/>
  <c r="C51" i="53"/>
  <c r="D50" i="53"/>
  <c r="P56" i="53" s="1"/>
  <c r="G44" i="50"/>
  <c r="D45" i="50"/>
  <c r="E45" i="50" s="1"/>
  <c r="F45" i="50" s="1"/>
  <c r="C46" i="50"/>
  <c r="I45" i="50"/>
  <c r="G44" i="49"/>
  <c r="D45" i="49"/>
  <c r="E45" i="49" s="1"/>
  <c r="F45" i="49" s="1"/>
  <c r="C46" i="49"/>
  <c r="I45" i="49"/>
  <c r="G44" i="48"/>
  <c r="C46" i="48"/>
  <c r="I45" i="48"/>
  <c r="D45" i="48"/>
  <c r="E45" i="48" s="1"/>
  <c r="F45" i="48" s="1"/>
  <c r="E32" i="15"/>
  <c r="F32" i="15" s="1"/>
  <c r="G44" i="47"/>
  <c r="I45" i="47"/>
  <c r="D45" i="47"/>
  <c r="E45" i="47" s="1"/>
  <c r="F45" i="47" s="1"/>
  <c r="C46" i="47"/>
  <c r="G31" i="15"/>
  <c r="C33" i="15"/>
  <c r="D33" i="15" s="1"/>
  <c r="E52" i="54" l="1"/>
  <c r="C53" i="54"/>
  <c r="D52" i="54"/>
  <c r="I52" i="54"/>
  <c r="F52" i="54"/>
  <c r="G52" i="54"/>
  <c r="H52" i="54"/>
  <c r="E51" i="53"/>
  <c r="C52" i="53"/>
  <c r="D51" i="53"/>
  <c r="P57" i="53" s="1"/>
  <c r="G45" i="50"/>
  <c r="D46" i="50"/>
  <c r="E46" i="50" s="1"/>
  <c r="F46" i="50" s="1"/>
  <c r="I46" i="50"/>
  <c r="C47" i="50"/>
  <c r="G45" i="49"/>
  <c r="D46" i="49"/>
  <c r="E46" i="49" s="1"/>
  <c r="F46" i="49" s="1"/>
  <c r="C47" i="49"/>
  <c r="I46" i="49"/>
  <c r="G45" i="48"/>
  <c r="C47" i="48"/>
  <c r="I46" i="48"/>
  <c r="D46" i="48"/>
  <c r="E46" i="48" s="1"/>
  <c r="F46" i="48" s="1"/>
  <c r="E33" i="15"/>
  <c r="F33" i="15" s="1"/>
  <c r="G45" i="47"/>
  <c r="I46" i="47"/>
  <c r="D46" i="47"/>
  <c r="E46" i="47" s="1"/>
  <c r="F46" i="47" s="1"/>
  <c r="G46" i="47" s="1"/>
  <c r="C47" i="47"/>
  <c r="G32" i="15"/>
  <c r="C34" i="15"/>
  <c r="D34" i="15" s="1"/>
  <c r="E53" i="54" l="1"/>
  <c r="C54" i="54"/>
  <c r="D53" i="54"/>
  <c r="I53" i="54"/>
  <c r="F53" i="54"/>
  <c r="H53" i="54"/>
  <c r="G53" i="54"/>
  <c r="E52" i="53"/>
  <c r="C53" i="53"/>
  <c r="D52" i="53"/>
  <c r="P58" i="53" s="1"/>
  <c r="G46" i="50"/>
  <c r="D47" i="50"/>
  <c r="E47" i="50" s="1"/>
  <c r="F47" i="50" s="1"/>
  <c r="I47" i="50"/>
  <c r="C48" i="50"/>
  <c r="G46" i="49"/>
  <c r="D47" i="49"/>
  <c r="E47" i="49" s="1"/>
  <c r="F47" i="49" s="1"/>
  <c r="C48" i="49"/>
  <c r="I47" i="49"/>
  <c r="G46" i="48"/>
  <c r="C48" i="48"/>
  <c r="I47" i="48"/>
  <c r="D47" i="48"/>
  <c r="E47" i="48" s="1"/>
  <c r="F47" i="48" s="1"/>
  <c r="E34" i="15"/>
  <c r="F34" i="15" s="1"/>
  <c r="I47" i="47"/>
  <c r="C48" i="47"/>
  <c r="D47" i="47"/>
  <c r="E47" i="47" s="1"/>
  <c r="F47" i="47" s="1"/>
  <c r="G47" i="47" s="1"/>
  <c r="G33" i="15"/>
  <c r="C35" i="15"/>
  <c r="D35" i="15" s="1"/>
  <c r="E54" i="54" l="1"/>
  <c r="C55" i="54"/>
  <c r="D54" i="54"/>
  <c r="I54" i="54"/>
  <c r="F54" i="54"/>
  <c r="H54" i="54"/>
  <c r="G54" i="54"/>
  <c r="E53" i="53"/>
  <c r="C54" i="53"/>
  <c r="D53" i="53"/>
  <c r="P59" i="53" s="1"/>
  <c r="G47" i="50"/>
  <c r="D48" i="50"/>
  <c r="C49" i="50"/>
  <c r="I48" i="50"/>
  <c r="H48" i="50"/>
  <c r="G48" i="50"/>
  <c r="F48" i="50"/>
  <c r="E48" i="50"/>
  <c r="G47" i="49"/>
  <c r="E48" i="49"/>
  <c r="D48" i="49"/>
  <c r="F48" i="49"/>
  <c r="C49" i="49"/>
  <c r="H48" i="49"/>
  <c r="G48" i="49"/>
  <c r="I48" i="49"/>
  <c r="G47" i="48"/>
  <c r="E48" i="48"/>
  <c r="C49" i="48"/>
  <c r="I48" i="48"/>
  <c r="F48" i="48"/>
  <c r="D48" i="48"/>
  <c r="H48" i="48"/>
  <c r="G48" i="48"/>
  <c r="E35" i="15"/>
  <c r="F35" i="15" s="1"/>
  <c r="G35" i="15" s="1"/>
  <c r="I48" i="47"/>
  <c r="D48" i="47"/>
  <c r="C49" i="47"/>
  <c r="H48" i="47"/>
  <c r="F48" i="47"/>
  <c r="E48" i="47"/>
  <c r="G48" i="47"/>
  <c r="G34" i="15"/>
  <c r="C36" i="15"/>
  <c r="D36" i="15" s="1"/>
  <c r="E55" i="54" l="1"/>
  <c r="C56" i="54"/>
  <c r="D55" i="54"/>
  <c r="I55" i="54"/>
  <c r="F55" i="54"/>
  <c r="H55" i="54"/>
  <c r="G55" i="54"/>
  <c r="E54" i="53"/>
  <c r="C55" i="53"/>
  <c r="D54" i="53"/>
  <c r="P60" i="53" s="1"/>
  <c r="D49" i="50"/>
  <c r="C50" i="50"/>
  <c r="I49" i="50"/>
  <c r="H49" i="50"/>
  <c r="F49" i="50"/>
  <c r="G49" i="50"/>
  <c r="E49" i="50"/>
  <c r="E49" i="49"/>
  <c r="D49" i="49"/>
  <c r="C50" i="49"/>
  <c r="F49" i="49"/>
  <c r="I49" i="49"/>
  <c r="H49" i="49"/>
  <c r="G49" i="49"/>
  <c r="E49" i="48"/>
  <c r="C50" i="48"/>
  <c r="I49" i="48"/>
  <c r="D49" i="48"/>
  <c r="H49" i="48"/>
  <c r="F49" i="48"/>
  <c r="G49" i="48"/>
  <c r="E36" i="15"/>
  <c r="F36" i="15" s="1"/>
  <c r="I49" i="47"/>
  <c r="F49" i="47"/>
  <c r="E49" i="47"/>
  <c r="D49" i="47"/>
  <c r="C50" i="47"/>
  <c r="H49" i="47"/>
  <c r="G49" i="47"/>
  <c r="C37" i="15"/>
  <c r="D37" i="15" s="1"/>
  <c r="E56" i="54" l="1"/>
  <c r="C57" i="54"/>
  <c r="D56" i="54"/>
  <c r="I56" i="54"/>
  <c r="F56" i="54"/>
  <c r="G56" i="54"/>
  <c r="H56" i="54"/>
  <c r="E55" i="53"/>
  <c r="C56" i="53"/>
  <c r="D55" i="53"/>
  <c r="P61" i="53" s="1"/>
  <c r="D50" i="50"/>
  <c r="I50" i="50"/>
  <c r="C51" i="50"/>
  <c r="H50" i="50"/>
  <c r="G50" i="50"/>
  <c r="F50" i="50"/>
  <c r="E50" i="50"/>
  <c r="E50" i="49"/>
  <c r="D50" i="49"/>
  <c r="F50" i="49"/>
  <c r="C51" i="49"/>
  <c r="H50" i="49"/>
  <c r="G50" i="49"/>
  <c r="I50" i="49"/>
  <c r="E50" i="48"/>
  <c r="C51" i="48"/>
  <c r="I50" i="48"/>
  <c r="F50" i="48"/>
  <c r="D50" i="48"/>
  <c r="H50" i="48"/>
  <c r="G50" i="48"/>
  <c r="E37" i="15"/>
  <c r="F37" i="15" s="1"/>
  <c r="I50" i="47"/>
  <c r="H50" i="47"/>
  <c r="G50" i="47"/>
  <c r="F50" i="47"/>
  <c r="E50" i="47"/>
  <c r="D50" i="47"/>
  <c r="C51" i="47"/>
  <c r="G36" i="15"/>
  <c r="C38" i="15"/>
  <c r="D38" i="15" s="1"/>
  <c r="E57" i="54" l="1"/>
  <c r="C58" i="54"/>
  <c r="D57" i="54"/>
  <c r="F57" i="54"/>
  <c r="I57" i="54"/>
  <c r="H57" i="54"/>
  <c r="G57" i="54"/>
  <c r="E56" i="53"/>
  <c r="C57" i="53"/>
  <c r="D56" i="53"/>
  <c r="P62" i="53" s="1"/>
  <c r="D51" i="50"/>
  <c r="C52" i="50"/>
  <c r="I51" i="50"/>
  <c r="F51" i="50"/>
  <c r="H51" i="50"/>
  <c r="G51" i="50"/>
  <c r="E51" i="50"/>
  <c r="E51" i="49"/>
  <c r="D51" i="49"/>
  <c r="C52" i="49"/>
  <c r="F51" i="49"/>
  <c r="G51" i="49"/>
  <c r="I51" i="49"/>
  <c r="H51" i="49"/>
  <c r="E51" i="48"/>
  <c r="C52" i="48"/>
  <c r="I51" i="48"/>
  <c r="D51" i="48"/>
  <c r="H51" i="48"/>
  <c r="F51" i="48"/>
  <c r="G51" i="48"/>
  <c r="E38" i="15"/>
  <c r="F38" i="15" s="1"/>
  <c r="I51" i="47"/>
  <c r="C52" i="47"/>
  <c r="H51" i="47"/>
  <c r="G51" i="47"/>
  <c r="F51" i="47"/>
  <c r="E51" i="47"/>
  <c r="D51" i="47"/>
  <c r="G37" i="15"/>
  <c r="C39" i="15"/>
  <c r="D39" i="15" s="1"/>
  <c r="E58" i="54" l="1"/>
  <c r="D58" i="54"/>
  <c r="I58" i="54"/>
  <c r="F58" i="54"/>
  <c r="H58" i="54"/>
  <c r="G58" i="54"/>
  <c r="G60" i="54" s="1"/>
  <c r="E57" i="53"/>
  <c r="C58" i="53"/>
  <c r="D57" i="53"/>
  <c r="P63" i="53" s="1"/>
  <c r="D52" i="50"/>
  <c r="C53" i="50"/>
  <c r="I52" i="50"/>
  <c r="H52" i="50"/>
  <c r="G52" i="50"/>
  <c r="F52" i="50"/>
  <c r="E52" i="50"/>
  <c r="E52" i="49"/>
  <c r="D52" i="49"/>
  <c r="F52" i="49"/>
  <c r="C53" i="49"/>
  <c r="I52" i="49"/>
  <c r="H52" i="49"/>
  <c r="G52" i="49"/>
  <c r="E52" i="48"/>
  <c r="C53" i="48"/>
  <c r="I52" i="48"/>
  <c r="F52" i="48"/>
  <c r="D52" i="48"/>
  <c r="G52" i="48"/>
  <c r="H52" i="48"/>
  <c r="E39" i="15"/>
  <c r="F39" i="15" s="1"/>
  <c r="I52" i="47"/>
  <c r="D52" i="47"/>
  <c r="C53" i="47"/>
  <c r="H52" i="47"/>
  <c r="E52" i="47"/>
  <c r="G52" i="47"/>
  <c r="F52" i="47"/>
  <c r="G38" i="15"/>
  <c r="C40" i="15"/>
  <c r="D40" i="15" s="1"/>
  <c r="F7" i="54" l="1"/>
  <c r="H13" i="54"/>
  <c r="J13" i="54" s="1"/>
  <c r="Q7" i="43" s="1"/>
  <c r="R7" i="43" s="1"/>
  <c r="H12" i="54"/>
  <c r="J12" i="54" s="1"/>
  <c r="Q6" i="43" s="1"/>
  <c r="R6" i="43" s="1"/>
  <c r="H14" i="54"/>
  <c r="J14" i="54" s="1"/>
  <c r="Q8" i="43" s="1"/>
  <c r="R8" i="43" s="1"/>
  <c r="H15" i="54"/>
  <c r="J15" i="54" s="1"/>
  <c r="Q9" i="43" s="1"/>
  <c r="R9" i="43" s="1"/>
  <c r="H16" i="54"/>
  <c r="J16" i="54" s="1"/>
  <c r="H18" i="54"/>
  <c r="J18" i="54" s="1"/>
  <c r="H17" i="54"/>
  <c r="J17" i="54" s="1"/>
  <c r="H19" i="54"/>
  <c r="J19" i="54" s="1"/>
  <c r="H20" i="54"/>
  <c r="J20" i="54" s="1"/>
  <c r="H21" i="54"/>
  <c r="J21" i="54" s="1"/>
  <c r="H22" i="54"/>
  <c r="J22" i="54" s="1"/>
  <c r="H23" i="54"/>
  <c r="J23" i="54" s="1"/>
  <c r="H24" i="54"/>
  <c r="J24" i="54" s="1"/>
  <c r="Q18" i="43" s="1"/>
  <c r="R18" i="43" s="1"/>
  <c r="H25" i="54"/>
  <c r="J25" i="54" s="1"/>
  <c r="Q19" i="43" s="1"/>
  <c r="R19" i="43" s="1"/>
  <c r="H26" i="54"/>
  <c r="J26" i="54" s="1"/>
  <c r="Q20" i="43" s="1"/>
  <c r="R20" i="43" s="1"/>
  <c r="H27" i="54"/>
  <c r="J27" i="54" s="1"/>
  <c r="Q21" i="43" s="1"/>
  <c r="R21" i="43" s="1"/>
  <c r="H28" i="54"/>
  <c r="J28" i="54" s="1"/>
  <c r="Q22" i="43" s="1"/>
  <c r="R22" i="43" s="1"/>
  <c r="H29" i="54"/>
  <c r="J29" i="54" s="1"/>
  <c r="Q23" i="43" s="1"/>
  <c r="R23" i="43" s="1"/>
  <c r="H30" i="54"/>
  <c r="J30" i="54" s="1"/>
  <c r="Q24" i="43" s="1"/>
  <c r="R24" i="43" s="1"/>
  <c r="H31" i="54"/>
  <c r="J31" i="54" s="1"/>
  <c r="Q25" i="43" s="1"/>
  <c r="R25" i="43" s="1"/>
  <c r="H32" i="54"/>
  <c r="J32" i="54" s="1"/>
  <c r="Q26" i="43" s="1"/>
  <c r="R26" i="43" s="1"/>
  <c r="H33" i="54"/>
  <c r="J33" i="54" s="1"/>
  <c r="Q27" i="43" s="1"/>
  <c r="R27" i="43" s="1"/>
  <c r="H34" i="54"/>
  <c r="J34" i="54" s="1"/>
  <c r="Q28" i="43" s="1"/>
  <c r="R28" i="43" s="1"/>
  <c r="H35" i="54"/>
  <c r="J35" i="54" s="1"/>
  <c r="Q29" i="43" s="1"/>
  <c r="R29" i="43" s="1"/>
  <c r="H36" i="54"/>
  <c r="J36" i="54" s="1"/>
  <c r="H37" i="54"/>
  <c r="J37" i="54" s="1"/>
  <c r="Q31" i="43" s="1"/>
  <c r="H38" i="54"/>
  <c r="J38" i="54" s="1"/>
  <c r="H39" i="54"/>
  <c r="J39" i="54" s="1"/>
  <c r="H40" i="54"/>
  <c r="J40" i="54" s="1"/>
  <c r="H41" i="54"/>
  <c r="J41" i="54" s="1"/>
  <c r="H42" i="54"/>
  <c r="J42" i="54" s="1"/>
  <c r="H43" i="54"/>
  <c r="J43" i="54" s="1"/>
  <c r="H44" i="54"/>
  <c r="J44" i="54" s="1"/>
  <c r="H45" i="54"/>
  <c r="J45" i="54" s="1"/>
  <c r="H46" i="54"/>
  <c r="J46" i="54" s="1"/>
  <c r="H47" i="54"/>
  <c r="E58" i="53"/>
  <c r="D58" i="53"/>
  <c r="P64" i="53" s="1"/>
  <c r="D53" i="50"/>
  <c r="C54" i="50"/>
  <c r="I53" i="50"/>
  <c r="F53" i="50"/>
  <c r="H53" i="50"/>
  <c r="G53" i="50"/>
  <c r="E53" i="50"/>
  <c r="E53" i="49"/>
  <c r="D53" i="49"/>
  <c r="F53" i="49"/>
  <c r="C54" i="49"/>
  <c r="G53" i="49"/>
  <c r="I53" i="49"/>
  <c r="H53" i="49"/>
  <c r="E53" i="48"/>
  <c r="C54" i="48"/>
  <c r="I53" i="48"/>
  <c r="D53" i="48"/>
  <c r="H53" i="48"/>
  <c r="F53" i="48"/>
  <c r="G53" i="48"/>
  <c r="E40" i="15"/>
  <c r="F40" i="15" s="1"/>
  <c r="G40" i="15" s="1"/>
  <c r="I53" i="47"/>
  <c r="F53" i="47"/>
  <c r="E53" i="47"/>
  <c r="D53" i="47"/>
  <c r="C54" i="47"/>
  <c r="H53" i="47"/>
  <c r="G53" i="47"/>
  <c r="G39" i="15"/>
  <c r="C41" i="15"/>
  <c r="D41" i="15" s="1"/>
  <c r="Q10" i="43" l="1"/>
  <c r="R10" i="43" s="1"/>
  <c r="K17" i="54"/>
  <c r="Q11" i="43"/>
  <c r="R11" i="43" s="1"/>
  <c r="K18" i="54"/>
  <c r="Q12" i="43"/>
  <c r="R12" i="43" s="1"/>
  <c r="K23" i="54"/>
  <c r="Q17" i="43"/>
  <c r="R17" i="43" s="1"/>
  <c r="K22" i="54"/>
  <c r="Q16" i="43"/>
  <c r="R16" i="43" s="1"/>
  <c r="K21" i="54"/>
  <c r="Q15" i="43"/>
  <c r="R15" i="43" s="1"/>
  <c r="Q30" i="43"/>
  <c r="R30" i="43" s="1"/>
  <c r="K20" i="54"/>
  <c r="Q14" i="43"/>
  <c r="R14" i="43" s="1"/>
  <c r="K19" i="54"/>
  <c r="Q13" i="43"/>
  <c r="R13" i="43" s="1"/>
  <c r="K16" i="54"/>
  <c r="I61" i="54"/>
  <c r="D54" i="50"/>
  <c r="C55" i="50"/>
  <c r="I54" i="50"/>
  <c r="H54" i="50"/>
  <c r="G54" i="50"/>
  <c r="F54" i="50"/>
  <c r="E54" i="50"/>
  <c r="E54" i="49"/>
  <c r="D54" i="49"/>
  <c r="C55" i="49"/>
  <c r="F54" i="49"/>
  <c r="H54" i="49"/>
  <c r="I54" i="49"/>
  <c r="G54" i="49"/>
  <c r="E54" i="48"/>
  <c r="C55" i="48"/>
  <c r="I54" i="48"/>
  <c r="F54" i="48"/>
  <c r="D54" i="48"/>
  <c r="H54" i="48"/>
  <c r="G54" i="48"/>
  <c r="E41" i="15"/>
  <c r="F41" i="15" s="1"/>
  <c r="G41" i="15" s="1"/>
  <c r="I54" i="47"/>
  <c r="H54" i="47"/>
  <c r="G54" i="47"/>
  <c r="F54" i="47"/>
  <c r="E54" i="47"/>
  <c r="D54" i="47"/>
  <c r="C55" i="47"/>
  <c r="C42" i="15"/>
  <c r="D42" i="15" s="1"/>
  <c r="R31" i="43" l="1"/>
  <c r="M18" i="54" s="1"/>
  <c r="J47" i="54"/>
  <c r="L36" i="54" s="1"/>
  <c r="J48" i="54"/>
  <c r="J49" i="54"/>
  <c r="J50" i="54"/>
  <c r="J51" i="54"/>
  <c r="J52" i="54"/>
  <c r="J53" i="54"/>
  <c r="J54" i="54"/>
  <c r="J55" i="54"/>
  <c r="J56" i="54"/>
  <c r="J57" i="54"/>
  <c r="J58" i="54"/>
  <c r="D55" i="50"/>
  <c r="C56" i="50"/>
  <c r="I55" i="50"/>
  <c r="F55" i="50"/>
  <c r="H55" i="50"/>
  <c r="G55" i="50"/>
  <c r="E55" i="50"/>
  <c r="E55" i="49"/>
  <c r="D55" i="49"/>
  <c r="F55" i="49"/>
  <c r="C56" i="49"/>
  <c r="I55" i="49"/>
  <c r="H55" i="49"/>
  <c r="G55" i="49"/>
  <c r="E55" i="48"/>
  <c r="C56" i="48"/>
  <c r="I55" i="48"/>
  <c r="D55" i="48"/>
  <c r="H55" i="48"/>
  <c r="F55" i="48"/>
  <c r="G55" i="48"/>
  <c r="E42" i="15"/>
  <c r="F42" i="15" s="1"/>
  <c r="G42" i="15" s="1"/>
  <c r="I55" i="47"/>
  <c r="C56" i="47"/>
  <c r="H55" i="47"/>
  <c r="G55" i="47"/>
  <c r="F55" i="47"/>
  <c r="E55" i="47"/>
  <c r="D55" i="47"/>
  <c r="C43" i="15"/>
  <c r="D43" i="15" s="1"/>
  <c r="D56" i="50" l="1"/>
  <c r="C57" i="50"/>
  <c r="I56" i="50"/>
  <c r="H56" i="50"/>
  <c r="F56" i="50"/>
  <c r="G56" i="50"/>
  <c r="E56" i="50"/>
  <c r="E56" i="49"/>
  <c r="D56" i="49"/>
  <c r="F56" i="49"/>
  <c r="C57" i="49"/>
  <c r="H56" i="49"/>
  <c r="G56" i="49"/>
  <c r="I56" i="49"/>
  <c r="E56" i="48"/>
  <c r="C57" i="48"/>
  <c r="I56" i="48"/>
  <c r="F56" i="48"/>
  <c r="D56" i="48"/>
  <c r="H56" i="48"/>
  <c r="G56" i="48"/>
  <c r="E43" i="15"/>
  <c r="F43" i="15" s="1"/>
  <c r="G43" i="15" s="1"/>
  <c r="I56" i="47"/>
  <c r="D56" i="47"/>
  <c r="C57" i="47"/>
  <c r="H56" i="47"/>
  <c r="G56" i="47"/>
  <c r="F56" i="47"/>
  <c r="E56" i="47"/>
  <c r="C44" i="15"/>
  <c r="D44" i="15" s="1"/>
  <c r="D57" i="50" l="1"/>
  <c r="I57" i="50"/>
  <c r="C58" i="50"/>
  <c r="H57" i="50"/>
  <c r="F57" i="50"/>
  <c r="G57" i="50"/>
  <c r="E57" i="50"/>
  <c r="E57" i="49"/>
  <c r="D57" i="49"/>
  <c r="F57" i="49"/>
  <c r="C58" i="49"/>
  <c r="I57" i="49"/>
  <c r="H57" i="49"/>
  <c r="G57" i="49"/>
  <c r="E57" i="48"/>
  <c r="C58" i="48"/>
  <c r="I57" i="48"/>
  <c r="D57" i="48"/>
  <c r="H57" i="48"/>
  <c r="F57" i="48"/>
  <c r="G57" i="48"/>
  <c r="E44" i="15"/>
  <c r="F44" i="15" s="1"/>
  <c r="I57" i="47"/>
  <c r="F57" i="47"/>
  <c r="E57" i="47"/>
  <c r="D57" i="47"/>
  <c r="C58" i="47"/>
  <c r="H57" i="47"/>
  <c r="G57" i="47"/>
  <c r="C45" i="15"/>
  <c r="D45" i="15" s="1"/>
  <c r="D58" i="50" l="1"/>
  <c r="I58" i="50"/>
  <c r="H58" i="50"/>
  <c r="G58" i="50"/>
  <c r="G60" i="50" s="1"/>
  <c r="F58" i="50"/>
  <c r="E58" i="50"/>
  <c r="E58" i="49"/>
  <c r="D58" i="49"/>
  <c r="F58" i="49"/>
  <c r="H58" i="49"/>
  <c r="G58" i="49"/>
  <c r="G60" i="49" s="1"/>
  <c r="I58" i="49"/>
  <c r="E58" i="48"/>
  <c r="I58" i="48"/>
  <c r="F58" i="48"/>
  <c r="D58" i="48"/>
  <c r="H58" i="48"/>
  <c r="G58" i="48"/>
  <c r="G60" i="48" s="1"/>
  <c r="E45" i="15"/>
  <c r="F45" i="15" s="1"/>
  <c r="G45" i="15" s="1"/>
  <c r="I58" i="47"/>
  <c r="H58" i="47"/>
  <c r="G58" i="47"/>
  <c r="G60" i="47" s="1"/>
  <c r="F58" i="47"/>
  <c r="E58" i="47"/>
  <c r="D58" i="47"/>
  <c r="G44" i="15"/>
  <c r="C46" i="15"/>
  <c r="D46" i="15" s="1"/>
  <c r="F7" i="50" l="1"/>
  <c r="H12" i="50"/>
  <c r="H14" i="50"/>
  <c r="J14" i="50" s="1"/>
  <c r="C7" i="43" s="1"/>
  <c r="H13" i="50"/>
  <c r="J13" i="50" s="1"/>
  <c r="C6" i="43" s="1"/>
  <c r="H15" i="50"/>
  <c r="J15" i="50" s="1"/>
  <c r="C8" i="43" s="1"/>
  <c r="H16" i="50"/>
  <c r="J16" i="50" s="1"/>
  <c r="H17" i="50"/>
  <c r="J17" i="50" s="1"/>
  <c r="H18" i="50"/>
  <c r="J18" i="50" s="1"/>
  <c r="H19" i="50"/>
  <c r="J19" i="50" s="1"/>
  <c r="H20" i="50"/>
  <c r="J20" i="50" s="1"/>
  <c r="H21" i="50"/>
  <c r="J21" i="50" s="1"/>
  <c r="H22" i="50"/>
  <c r="J22" i="50" s="1"/>
  <c r="H23" i="50"/>
  <c r="J23" i="50" s="1"/>
  <c r="H24" i="50"/>
  <c r="J24" i="50" s="1"/>
  <c r="C17" i="43" s="1"/>
  <c r="H25" i="50"/>
  <c r="J25" i="50" s="1"/>
  <c r="C18" i="43" s="1"/>
  <c r="H26" i="50"/>
  <c r="J26" i="50" s="1"/>
  <c r="C19" i="43" s="1"/>
  <c r="H27" i="50"/>
  <c r="J27" i="50" s="1"/>
  <c r="C20" i="43" s="1"/>
  <c r="H28" i="50"/>
  <c r="J28" i="50" s="1"/>
  <c r="C21" i="43" s="1"/>
  <c r="H29" i="50"/>
  <c r="J29" i="50" s="1"/>
  <c r="C22" i="43" s="1"/>
  <c r="H30" i="50"/>
  <c r="J30" i="50" s="1"/>
  <c r="C23" i="43" s="1"/>
  <c r="H31" i="50"/>
  <c r="J31" i="50" s="1"/>
  <c r="C24" i="43" s="1"/>
  <c r="H32" i="50"/>
  <c r="J32" i="50" s="1"/>
  <c r="C25" i="43" s="1"/>
  <c r="H33" i="50"/>
  <c r="J33" i="50" s="1"/>
  <c r="C26" i="43" s="1"/>
  <c r="H34" i="50"/>
  <c r="J34" i="50" s="1"/>
  <c r="C27" i="43" s="1"/>
  <c r="H35" i="50"/>
  <c r="J35" i="50" s="1"/>
  <c r="C28" i="43" s="1"/>
  <c r="H36" i="50"/>
  <c r="J36" i="50" s="1"/>
  <c r="C29" i="43" s="1"/>
  <c r="H37" i="50"/>
  <c r="J37" i="50" s="1"/>
  <c r="C30" i="43" s="1"/>
  <c r="H38" i="50"/>
  <c r="J38" i="50" s="1"/>
  <c r="H39" i="50"/>
  <c r="J39" i="50" s="1"/>
  <c r="H40" i="50"/>
  <c r="J40" i="50" s="1"/>
  <c r="H41" i="50"/>
  <c r="J41" i="50" s="1"/>
  <c r="H42" i="50"/>
  <c r="J42" i="50" s="1"/>
  <c r="H43" i="50"/>
  <c r="J43" i="50" s="1"/>
  <c r="H44" i="50"/>
  <c r="J44" i="50" s="1"/>
  <c r="H45" i="50"/>
  <c r="J45" i="50" s="1"/>
  <c r="H46" i="50"/>
  <c r="J46" i="50" s="1"/>
  <c r="H47" i="50"/>
  <c r="F7" i="49"/>
  <c r="H12" i="49"/>
  <c r="H13" i="49"/>
  <c r="J13" i="49" s="1"/>
  <c r="D6" i="43" s="1"/>
  <c r="H14" i="49"/>
  <c r="J14" i="49" s="1"/>
  <c r="D7" i="43" s="1"/>
  <c r="H15" i="49"/>
  <c r="J15" i="49" s="1"/>
  <c r="D8" i="43" s="1"/>
  <c r="H16" i="49"/>
  <c r="J16" i="49" s="1"/>
  <c r="H17" i="49"/>
  <c r="J17" i="49" s="1"/>
  <c r="H18" i="49"/>
  <c r="J18" i="49" s="1"/>
  <c r="H19" i="49"/>
  <c r="J19" i="49" s="1"/>
  <c r="H20" i="49"/>
  <c r="J20" i="49" s="1"/>
  <c r="H21" i="49"/>
  <c r="J21" i="49" s="1"/>
  <c r="H22" i="49"/>
  <c r="J22" i="49" s="1"/>
  <c r="H23" i="49"/>
  <c r="J23" i="49" s="1"/>
  <c r="H24" i="49"/>
  <c r="J24" i="49" s="1"/>
  <c r="D17" i="43" s="1"/>
  <c r="H25" i="49"/>
  <c r="J25" i="49" s="1"/>
  <c r="D18" i="43" s="1"/>
  <c r="H26" i="49"/>
  <c r="J26" i="49" s="1"/>
  <c r="D19" i="43" s="1"/>
  <c r="H27" i="49"/>
  <c r="J27" i="49" s="1"/>
  <c r="D20" i="43" s="1"/>
  <c r="H28" i="49"/>
  <c r="J28" i="49" s="1"/>
  <c r="D21" i="43" s="1"/>
  <c r="H29" i="49"/>
  <c r="J29" i="49" s="1"/>
  <c r="D22" i="43" s="1"/>
  <c r="H30" i="49"/>
  <c r="J30" i="49" s="1"/>
  <c r="D23" i="43" s="1"/>
  <c r="H31" i="49"/>
  <c r="J31" i="49" s="1"/>
  <c r="D24" i="43" s="1"/>
  <c r="H32" i="49"/>
  <c r="J32" i="49" s="1"/>
  <c r="D25" i="43" s="1"/>
  <c r="H33" i="49"/>
  <c r="J33" i="49" s="1"/>
  <c r="D26" i="43" s="1"/>
  <c r="H34" i="49"/>
  <c r="J34" i="49" s="1"/>
  <c r="D27" i="43" s="1"/>
  <c r="H35" i="49"/>
  <c r="J35" i="49" s="1"/>
  <c r="D28" i="43" s="1"/>
  <c r="H36" i="49"/>
  <c r="J36" i="49" s="1"/>
  <c r="D29" i="43" s="1"/>
  <c r="H37" i="49"/>
  <c r="J37" i="49" s="1"/>
  <c r="D30" i="43" s="1"/>
  <c r="H38" i="49"/>
  <c r="J38" i="49" s="1"/>
  <c r="H39" i="49"/>
  <c r="J39" i="49" s="1"/>
  <c r="H40" i="49"/>
  <c r="J40" i="49" s="1"/>
  <c r="H41" i="49"/>
  <c r="J41" i="49" s="1"/>
  <c r="H42" i="49"/>
  <c r="J42" i="49" s="1"/>
  <c r="H43" i="49"/>
  <c r="J43" i="49" s="1"/>
  <c r="H44" i="49"/>
  <c r="J44" i="49" s="1"/>
  <c r="H45" i="49"/>
  <c r="J45" i="49" s="1"/>
  <c r="H46" i="49"/>
  <c r="J46" i="49" s="1"/>
  <c r="H47" i="49"/>
  <c r="F7" i="48"/>
  <c r="H12" i="48"/>
  <c r="H13" i="48"/>
  <c r="J13" i="48" s="1"/>
  <c r="F6" i="43" s="1"/>
  <c r="H14" i="48"/>
  <c r="J14" i="48" s="1"/>
  <c r="F7" i="43" s="1"/>
  <c r="H15" i="48"/>
  <c r="J15" i="48" s="1"/>
  <c r="F8" i="43" s="1"/>
  <c r="H16" i="48"/>
  <c r="J16" i="48" s="1"/>
  <c r="H17" i="48"/>
  <c r="J17" i="48" s="1"/>
  <c r="H18" i="48"/>
  <c r="J18" i="48" s="1"/>
  <c r="H19" i="48"/>
  <c r="J19" i="48" s="1"/>
  <c r="H20" i="48"/>
  <c r="J20" i="48" s="1"/>
  <c r="H21" i="48"/>
  <c r="J21" i="48" s="1"/>
  <c r="H22" i="48"/>
  <c r="J22" i="48" s="1"/>
  <c r="H23" i="48"/>
  <c r="J23" i="48" s="1"/>
  <c r="H24" i="48"/>
  <c r="J24" i="48" s="1"/>
  <c r="F17" i="43" s="1"/>
  <c r="H25" i="48"/>
  <c r="J25" i="48" s="1"/>
  <c r="F18" i="43" s="1"/>
  <c r="H26" i="48"/>
  <c r="J26" i="48" s="1"/>
  <c r="F19" i="43" s="1"/>
  <c r="H27" i="48"/>
  <c r="J27" i="48" s="1"/>
  <c r="F20" i="43" s="1"/>
  <c r="H28" i="48"/>
  <c r="J28" i="48" s="1"/>
  <c r="F21" i="43" s="1"/>
  <c r="H29" i="48"/>
  <c r="J29" i="48" s="1"/>
  <c r="F22" i="43" s="1"/>
  <c r="H30" i="48"/>
  <c r="J30" i="48" s="1"/>
  <c r="F23" i="43" s="1"/>
  <c r="H31" i="48"/>
  <c r="J31" i="48" s="1"/>
  <c r="F24" i="43" s="1"/>
  <c r="H32" i="48"/>
  <c r="J32" i="48" s="1"/>
  <c r="F25" i="43" s="1"/>
  <c r="H33" i="48"/>
  <c r="J33" i="48" s="1"/>
  <c r="F26" i="43" s="1"/>
  <c r="H34" i="48"/>
  <c r="J34" i="48" s="1"/>
  <c r="F27" i="43" s="1"/>
  <c r="H35" i="48"/>
  <c r="J35" i="48" s="1"/>
  <c r="F28" i="43" s="1"/>
  <c r="H36" i="48"/>
  <c r="J36" i="48" s="1"/>
  <c r="F29" i="43" s="1"/>
  <c r="H37" i="48"/>
  <c r="J37" i="48" s="1"/>
  <c r="F30" i="43" s="1"/>
  <c r="H38" i="48"/>
  <c r="J38" i="48" s="1"/>
  <c r="H39" i="48"/>
  <c r="J39" i="48" s="1"/>
  <c r="H40" i="48"/>
  <c r="J40" i="48" s="1"/>
  <c r="H41" i="48"/>
  <c r="J41" i="48" s="1"/>
  <c r="H42" i="48"/>
  <c r="J42" i="48" s="1"/>
  <c r="H43" i="48"/>
  <c r="J43" i="48" s="1"/>
  <c r="H44" i="48"/>
  <c r="J44" i="48" s="1"/>
  <c r="H45" i="48"/>
  <c r="J45" i="48" s="1"/>
  <c r="H46" i="48"/>
  <c r="J46" i="48" s="1"/>
  <c r="H47" i="48"/>
  <c r="E46" i="15"/>
  <c r="F46" i="15" s="1"/>
  <c r="F7" i="47"/>
  <c r="H12" i="47"/>
  <c r="H13" i="47"/>
  <c r="J13" i="47" s="1"/>
  <c r="E6" i="43" s="1"/>
  <c r="H14" i="47"/>
  <c r="J14" i="47" s="1"/>
  <c r="E7" i="43" s="1"/>
  <c r="H15" i="47"/>
  <c r="J15" i="47" s="1"/>
  <c r="E8" i="43" s="1"/>
  <c r="H16" i="47"/>
  <c r="J16" i="47" s="1"/>
  <c r="H17" i="47"/>
  <c r="J17" i="47" s="1"/>
  <c r="H18" i="47"/>
  <c r="J18" i="47" s="1"/>
  <c r="H19" i="47"/>
  <c r="J19" i="47" s="1"/>
  <c r="H20" i="47"/>
  <c r="J20" i="47" s="1"/>
  <c r="H21" i="47"/>
  <c r="J21" i="47" s="1"/>
  <c r="H22" i="47"/>
  <c r="J22" i="47" s="1"/>
  <c r="H23" i="47"/>
  <c r="J23" i="47" s="1"/>
  <c r="H24" i="47"/>
  <c r="J24" i="47" s="1"/>
  <c r="E17" i="43" s="1"/>
  <c r="H25" i="47"/>
  <c r="J25" i="47" s="1"/>
  <c r="E18" i="43" s="1"/>
  <c r="H26" i="47"/>
  <c r="J26" i="47" s="1"/>
  <c r="E19" i="43" s="1"/>
  <c r="H27" i="47"/>
  <c r="J27" i="47" s="1"/>
  <c r="E20" i="43" s="1"/>
  <c r="H28" i="47"/>
  <c r="J28" i="47" s="1"/>
  <c r="E21" i="43" s="1"/>
  <c r="H29" i="47"/>
  <c r="J29" i="47" s="1"/>
  <c r="E22" i="43" s="1"/>
  <c r="H30" i="47"/>
  <c r="J30" i="47" s="1"/>
  <c r="E23" i="43" s="1"/>
  <c r="H31" i="47"/>
  <c r="J31" i="47" s="1"/>
  <c r="E24" i="43" s="1"/>
  <c r="H32" i="47"/>
  <c r="J32" i="47" s="1"/>
  <c r="E25" i="43" s="1"/>
  <c r="H33" i="47"/>
  <c r="J33" i="47" s="1"/>
  <c r="E26" i="43" s="1"/>
  <c r="H34" i="47"/>
  <c r="J34" i="47" s="1"/>
  <c r="E27" i="43" s="1"/>
  <c r="H35" i="47"/>
  <c r="J35" i="47" s="1"/>
  <c r="E28" i="43" s="1"/>
  <c r="H36" i="47"/>
  <c r="J36" i="47" s="1"/>
  <c r="E29" i="43" s="1"/>
  <c r="H37" i="47"/>
  <c r="J37" i="47" s="1"/>
  <c r="E30" i="43" s="1"/>
  <c r="H38" i="47"/>
  <c r="J38" i="47" s="1"/>
  <c r="H39" i="47"/>
  <c r="J39" i="47" s="1"/>
  <c r="H40" i="47"/>
  <c r="J40" i="47" s="1"/>
  <c r="H41" i="47"/>
  <c r="J41" i="47" s="1"/>
  <c r="H42" i="47"/>
  <c r="J42" i="47" s="1"/>
  <c r="H43" i="47"/>
  <c r="J43" i="47" s="1"/>
  <c r="H44" i="47"/>
  <c r="J44" i="47" s="1"/>
  <c r="H45" i="47"/>
  <c r="J45" i="47" s="1"/>
  <c r="H46" i="47"/>
  <c r="J46" i="47" s="1"/>
  <c r="H47" i="47"/>
  <c r="C47" i="15"/>
  <c r="D47" i="15" s="1"/>
  <c r="D9" i="43" l="1"/>
  <c r="C9" i="43"/>
  <c r="F9" i="43"/>
  <c r="E9" i="43"/>
  <c r="K18" i="50"/>
  <c r="C11" i="43"/>
  <c r="K17" i="50"/>
  <c r="C10" i="43"/>
  <c r="K23" i="50"/>
  <c r="C16" i="43"/>
  <c r="K22" i="50"/>
  <c r="C15" i="43"/>
  <c r="K19" i="50"/>
  <c r="C12" i="43"/>
  <c r="K21" i="50"/>
  <c r="C14" i="43"/>
  <c r="K20" i="50"/>
  <c r="C13" i="43"/>
  <c r="K22" i="49"/>
  <c r="D15" i="43"/>
  <c r="K19" i="49"/>
  <c r="D12" i="43"/>
  <c r="K18" i="49"/>
  <c r="D11" i="43"/>
  <c r="K17" i="49"/>
  <c r="D10" i="43"/>
  <c r="K21" i="49"/>
  <c r="D14" i="43"/>
  <c r="K20" i="49"/>
  <c r="D13" i="43"/>
  <c r="K23" i="49"/>
  <c r="D16" i="43"/>
  <c r="K16" i="50"/>
  <c r="I61" i="50"/>
  <c r="J12" i="50"/>
  <c r="C5" i="43" s="1"/>
  <c r="K22" i="48"/>
  <c r="F15" i="43"/>
  <c r="K20" i="48"/>
  <c r="F13" i="43"/>
  <c r="K16" i="49"/>
  <c r="K17" i="48"/>
  <c r="F10" i="43"/>
  <c r="K21" i="48"/>
  <c r="F14" i="43"/>
  <c r="K19" i="48"/>
  <c r="F12" i="43"/>
  <c r="K18" i="48"/>
  <c r="F11" i="43"/>
  <c r="K23" i="48"/>
  <c r="F16" i="43"/>
  <c r="J12" i="49"/>
  <c r="D5" i="43" s="1"/>
  <c r="I61" i="49"/>
  <c r="K16" i="48"/>
  <c r="K17" i="47"/>
  <c r="E10" i="43"/>
  <c r="K23" i="47"/>
  <c r="E16" i="43"/>
  <c r="K20" i="47"/>
  <c r="E13" i="43"/>
  <c r="K19" i="47"/>
  <c r="E12" i="43"/>
  <c r="K18" i="47"/>
  <c r="E11" i="43"/>
  <c r="K22" i="47"/>
  <c r="E15" i="43"/>
  <c r="J12" i="48"/>
  <c r="F5" i="43" s="1"/>
  <c r="I61" i="48"/>
  <c r="K21" i="47"/>
  <c r="E14" i="43"/>
  <c r="E47" i="15"/>
  <c r="F47" i="15" s="1"/>
  <c r="G47" i="15" s="1"/>
  <c r="K16" i="47"/>
  <c r="I61" i="47"/>
  <c r="J12" i="47"/>
  <c r="E5" i="43" s="1"/>
  <c r="G46" i="15"/>
  <c r="C48" i="15"/>
  <c r="D48" i="15" s="1"/>
  <c r="J47" i="50" l="1"/>
  <c r="L34" i="50" s="1"/>
  <c r="J48" i="50"/>
  <c r="J49" i="50"/>
  <c r="J50" i="50"/>
  <c r="J51" i="50"/>
  <c r="J52" i="50"/>
  <c r="J53" i="50"/>
  <c r="J54" i="50"/>
  <c r="J55" i="50"/>
  <c r="J56" i="50"/>
  <c r="J57" i="50"/>
  <c r="J58" i="50"/>
  <c r="J47" i="49"/>
  <c r="L38" i="49" s="1"/>
  <c r="J48" i="49"/>
  <c r="J49" i="49"/>
  <c r="J50" i="49"/>
  <c r="J51" i="49"/>
  <c r="J52" i="49"/>
  <c r="J53" i="49"/>
  <c r="J54" i="49"/>
  <c r="J55" i="49"/>
  <c r="J56" i="49"/>
  <c r="J57" i="49"/>
  <c r="J58" i="49"/>
  <c r="J47" i="48"/>
  <c r="L32" i="48" s="1"/>
  <c r="J48" i="48"/>
  <c r="J49" i="48"/>
  <c r="J50" i="48"/>
  <c r="J51" i="48"/>
  <c r="J52" i="48"/>
  <c r="J53" i="48"/>
  <c r="J54" i="48"/>
  <c r="J55" i="48"/>
  <c r="J56" i="48"/>
  <c r="J57" i="48"/>
  <c r="J58" i="48"/>
  <c r="E33" i="43"/>
  <c r="J47" i="47"/>
  <c r="L35" i="47" s="1"/>
  <c r="J48" i="47"/>
  <c r="J49" i="47"/>
  <c r="J50" i="47"/>
  <c r="J51" i="47"/>
  <c r="J52" i="47"/>
  <c r="J53" i="47"/>
  <c r="J54" i="47"/>
  <c r="J55" i="47"/>
  <c r="J56" i="47"/>
  <c r="J57" i="47"/>
  <c r="J58" i="47"/>
  <c r="C49" i="15"/>
  <c r="D49" i="15" s="1"/>
  <c r="G48" i="15"/>
  <c r="I48" i="15"/>
  <c r="E48" i="15"/>
  <c r="F48" i="15"/>
  <c r="H48" i="15"/>
  <c r="C50" i="15" l="1"/>
  <c r="D50" i="15" s="1"/>
  <c r="G49" i="15"/>
  <c r="I49" i="15"/>
  <c r="E49" i="15"/>
  <c r="F49" i="15"/>
  <c r="H49" i="15"/>
  <c r="C51" i="15" l="1"/>
  <c r="D51" i="15" s="1"/>
  <c r="G50" i="15"/>
  <c r="I50" i="15"/>
  <c r="E50" i="15"/>
  <c r="F50" i="15"/>
  <c r="H50" i="15"/>
  <c r="C52" i="15" l="1"/>
  <c r="D52" i="15" s="1"/>
  <c r="G51" i="15"/>
  <c r="I51" i="15"/>
  <c r="E51" i="15"/>
  <c r="F51" i="15"/>
  <c r="H51" i="15"/>
  <c r="C53" i="15" l="1"/>
  <c r="D53" i="15" s="1"/>
  <c r="G52" i="15"/>
  <c r="I52" i="15"/>
  <c r="E52" i="15"/>
  <c r="F52" i="15"/>
  <c r="H52" i="15"/>
  <c r="C54" i="15" l="1"/>
  <c r="D54" i="15" s="1"/>
  <c r="G53" i="15"/>
  <c r="I53" i="15"/>
  <c r="E53" i="15"/>
  <c r="F53" i="15"/>
  <c r="H53" i="15"/>
  <c r="C55" i="15" l="1"/>
  <c r="D55" i="15" s="1"/>
  <c r="G54" i="15"/>
  <c r="I54" i="15"/>
  <c r="E54" i="15"/>
  <c r="F54" i="15"/>
  <c r="H54" i="15"/>
  <c r="C56" i="15" l="1"/>
  <c r="D56" i="15" s="1"/>
  <c r="G55" i="15"/>
  <c r="I55" i="15"/>
  <c r="E55" i="15"/>
  <c r="F55" i="15"/>
  <c r="H55" i="15"/>
  <c r="C57" i="15" l="1"/>
  <c r="D57" i="15" s="1"/>
  <c r="G56" i="15"/>
  <c r="I56" i="15"/>
  <c r="E56" i="15"/>
  <c r="F56" i="15"/>
  <c r="H56" i="15"/>
  <c r="C58" i="15" l="1"/>
  <c r="D58" i="15" s="1"/>
  <c r="G57" i="15"/>
  <c r="I57" i="15"/>
  <c r="E57" i="15"/>
  <c r="F57" i="15"/>
  <c r="H57" i="15"/>
  <c r="G58" i="15" l="1"/>
  <c r="I58" i="15"/>
  <c r="E58" i="15"/>
  <c r="F58" i="15"/>
  <c r="H58" i="15"/>
  <c r="G60" i="15" l="1"/>
  <c r="H19" i="15" s="1"/>
  <c r="J19" i="15" s="1"/>
  <c r="B12" i="43" s="1"/>
  <c r="H33" i="15" l="1"/>
  <c r="H32" i="15"/>
  <c r="H24" i="15"/>
  <c r="H30" i="15"/>
  <c r="H14" i="15"/>
  <c r="J14" i="15" s="1"/>
  <c r="B7" i="43" s="1"/>
  <c r="K7" i="43" s="1"/>
  <c r="H13" i="15"/>
  <c r="J13" i="15" s="1"/>
  <c r="B6" i="43" s="1"/>
  <c r="K6" i="43" s="1"/>
  <c r="H36" i="15"/>
  <c r="H28" i="15"/>
  <c r="H40" i="15"/>
  <c r="H25" i="15"/>
  <c r="F7" i="15"/>
  <c r="H43" i="15"/>
  <c r="H15" i="15"/>
  <c r="J15" i="15" s="1"/>
  <c r="B8" i="43" s="1"/>
  <c r="L8" i="43" s="1"/>
  <c r="H23" i="15"/>
  <c r="I24" i="15" s="1"/>
  <c r="I25" i="15" s="1"/>
  <c r="I26" i="15" s="1"/>
  <c r="I27" i="15" s="1"/>
  <c r="I28" i="15" s="1"/>
  <c r="H29" i="15"/>
  <c r="H22" i="15"/>
  <c r="J22" i="15" s="1"/>
  <c r="B15" i="43" s="1"/>
  <c r="L15" i="43" s="1"/>
  <c r="H21" i="15"/>
  <c r="J21" i="15" s="1"/>
  <c r="B14" i="43" s="1"/>
  <c r="L14" i="43" s="1"/>
  <c r="H12" i="15"/>
  <c r="J12" i="15" s="1"/>
  <c r="B5" i="43" s="1"/>
  <c r="H35" i="15"/>
  <c r="H46" i="15"/>
  <c r="H39" i="15"/>
  <c r="H26" i="15"/>
  <c r="H44" i="15"/>
  <c r="H18" i="15"/>
  <c r="J18" i="15" s="1"/>
  <c r="B11" i="43" s="1"/>
  <c r="L11" i="43" s="1"/>
  <c r="H45" i="15"/>
  <c r="H17" i="15"/>
  <c r="J17" i="15" s="1"/>
  <c r="B10" i="43" s="1"/>
  <c r="L10" i="43" s="1"/>
  <c r="H31" i="15"/>
  <c r="H16" i="15"/>
  <c r="J16" i="15" s="1"/>
  <c r="K16" i="15" s="1"/>
  <c r="H42" i="15"/>
  <c r="H37" i="15"/>
  <c r="H41" i="15"/>
  <c r="H20" i="15"/>
  <c r="J20" i="15" s="1"/>
  <c r="B13" i="43" s="1"/>
  <c r="K13" i="43" s="1"/>
  <c r="H27" i="15"/>
  <c r="H34" i="15"/>
  <c r="H47" i="15"/>
  <c r="H38" i="15"/>
  <c r="L12" i="43"/>
  <c r="K12" i="43"/>
  <c r="L6" i="43"/>
  <c r="I29" i="15"/>
  <c r="I30" i="15" s="1"/>
  <c r="I31" i="15" s="1"/>
  <c r="I32" i="15" s="1"/>
  <c r="I33" i="15" s="1"/>
  <c r="I34" i="15" s="1"/>
  <c r="I35" i="15" s="1"/>
  <c r="I36" i="15" s="1"/>
  <c r="I37" i="15" s="1"/>
  <c r="I38" i="15" s="1"/>
  <c r="I39" i="15" s="1"/>
  <c r="I40" i="15" s="1"/>
  <c r="I41" i="15" s="1"/>
  <c r="I42" i="15" s="1"/>
  <c r="I43" i="15" s="1"/>
  <c r="I44" i="15" s="1"/>
  <c r="I45" i="15" s="1"/>
  <c r="I46" i="15" s="1"/>
  <c r="I47" i="15" s="1"/>
  <c r="K19" i="15"/>
  <c r="K15" i="15"/>
  <c r="K14" i="15"/>
  <c r="K13" i="15"/>
  <c r="B9" i="43" l="1"/>
  <c r="L9" i="43" s="1"/>
  <c r="K22" i="15"/>
  <c r="L7" i="43"/>
  <c r="K8" i="43"/>
  <c r="K17" i="15"/>
  <c r="L13" i="43"/>
  <c r="K11" i="43"/>
  <c r="K10" i="43"/>
  <c r="K14" i="43"/>
  <c r="K15" i="43"/>
  <c r="K20" i="15"/>
  <c r="K21" i="15"/>
  <c r="K18" i="15"/>
  <c r="I61" i="15"/>
  <c r="J26" i="15"/>
  <c r="B19" i="43" s="1"/>
  <c r="K12" i="15"/>
  <c r="K9" i="43" l="1"/>
  <c r="L19" i="43"/>
  <c r="K19" i="43"/>
  <c r="J52" i="15"/>
  <c r="J31" i="15"/>
  <c r="B24" i="43" s="1"/>
  <c r="J41" i="15"/>
  <c r="J47" i="15"/>
  <c r="J57" i="15"/>
  <c r="J36" i="15"/>
  <c r="B29" i="43" s="1"/>
  <c r="J25" i="15"/>
  <c r="B18" i="43" s="1"/>
  <c r="J56" i="15"/>
  <c r="J51" i="15"/>
  <c r="J45" i="15"/>
  <c r="J40" i="15"/>
  <c r="J35" i="15"/>
  <c r="B28" i="43" s="1"/>
  <c r="J29" i="15"/>
  <c r="B22" i="43" s="1"/>
  <c r="J24" i="15"/>
  <c r="B17" i="43" s="1"/>
  <c r="J55" i="15"/>
  <c r="J49" i="15"/>
  <c r="J44" i="15"/>
  <c r="J39" i="15"/>
  <c r="J33" i="15"/>
  <c r="B26" i="43" s="1"/>
  <c r="J28" i="15"/>
  <c r="B21" i="43" s="1"/>
  <c r="J23" i="15"/>
  <c r="J53" i="15"/>
  <c r="J48" i="15"/>
  <c r="J43" i="15"/>
  <c r="J37" i="15"/>
  <c r="B30" i="43" s="1"/>
  <c r="J32" i="15"/>
  <c r="B25" i="43" s="1"/>
  <c r="J27" i="15"/>
  <c r="B20" i="43" s="1"/>
  <c r="J58" i="15"/>
  <c r="J54" i="15"/>
  <c r="J50" i="15"/>
  <c r="J46" i="15"/>
  <c r="J42" i="15"/>
  <c r="J38" i="15"/>
  <c r="J34" i="15"/>
  <c r="B27" i="43" s="1"/>
  <c r="J30" i="15"/>
  <c r="B23" i="43" s="1"/>
  <c r="K29" i="43" l="1"/>
  <c r="L29" i="43"/>
  <c r="L26" i="43"/>
  <c r="K26" i="43"/>
  <c r="L27" i="43"/>
  <c r="K27" i="43"/>
  <c r="K25" i="43"/>
  <c r="L25" i="43"/>
  <c r="L24" i="43"/>
  <c r="K24" i="43"/>
  <c r="K30" i="43"/>
  <c r="L30" i="43"/>
  <c r="K17" i="43"/>
  <c r="L17" i="43"/>
  <c r="L22" i="43"/>
  <c r="K22" i="43"/>
  <c r="L21" i="43"/>
  <c r="K21" i="43"/>
  <c r="L20" i="43"/>
  <c r="K20" i="43"/>
  <c r="L36" i="15"/>
  <c r="L28" i="43"/>
  <c r="K28" i="43"/>
  <c r="L23" i="43"/>
  <c r="K23" i="43"/>
  <c r="K18" i="43"/>
  <c r="L18" i="43"/>
  <c r="B16" i="43"/>
  <c r="K23" i="15"/>
  <c r="B33" i="43" l="1"/>
  <c r="L16" i="43"/>
  <c r="K16" i="43"/>
</calcChain>
</file>

<file path=xl/comments1.xml><?xml version="1.0" encoding="utf-8"?>
<comments xmlns="http://schemas.openxmlformats.org/spreadsheetml/2006/main">
  <authors>
    <author>John Walter III</author>
  </authors>
  <commentList>
    <comment ref="P5" authorId="0" shapeId="0">
      <text>
        <r>
          <rPr>
            <b/>
            <sz val="9"/>
            <color indexed="81"/>
            <rFont val="Tahoma"/>
            <family val="2"/>
          </rPr>
          <t>John Walter III:</t>
        </r>
        <r>
          <rPr>
            <sz val="9"/>
            <color indexed="81"/>
            <rFont val="Tahoma"/>
            <family val="2"/>
          </rPr>
          <t xml:space="preserve">
Proposed new vectors</t>
        </r>
      </text>
    </comment>
    <comment ref="Q5" authorId="0" shapeId="0">
      <text>
        <r>
          <rPr>
            <b/>
            <sz val="9"/>
            <color indexed="81"/>
            <rFont val="Tahoma"/>
            <family val="2"/>
          </rPr>
          <t>John Walter III:</t>
        </r>
        <r>
          <rPr>
            <sz val="9"/>
            <color indexed="81"/>
            <rFont val="Tahoma"/>
            <family val="2"/>
          </rPr>
          <t xml:space="preserve">
proposed vectors</t>
        </r>
      </text>
    </comment>
  </commentList>
</comments>
</file>

<file path=xl/comments2.xml><?xml version="1.0" encoding="utf-8"?>
<comments xmlns="http://schemas.openxmlformats.org/spreadsheetml/2006/main">
  <authors>
    <author>cporch</author>
    <author xml:space="preserve"> </author>
    <author>John Walter III</author>
  </authors>
  <commentList>
    <comment ref="H2" authorId="0" shapeId="0">
      <text>
        <r>
          <rPr>
            <b/>
            <sz val="8"/>
            <color indexed="81"/>
            <rFont val="Tahoma"/>
            <family val="2"/>
          </rPr>
          <t>cporch:</t>
        </r>
        <r>
          <rPr>
            <sz val="8"/>
            <color indexed="81"/>
            <rFont val="Tahoma"/>
            <family val="2"/>
          </rPr>
          <t xml:space="preserve">
weight length parameter
Use Eastern (from rodrigues-marin et al
Rodriguez-Marin E, Ortiz M, Ortiz de Urbina J.M., Quelle P, Walter J, Abid N, et al. (2015) Atlantic bluefin tuna (Thunnus thynnus ) Biometrics and Condition.
PLoS ONE 10(10): e0141478.doi:10.1371/journal.pone.0141478</t>
        </r>
      </text>
    </comment>
    <comment ref="K4" authorId="0" shapeId="0">
      <text>
        <r>
          <rPr>
            <b/>
            <sz val="8"/>
            <color indexed="81"/>
            <rFont val="Tahoma"/>
            <family val="2"/>
          </rPr>
          <t>cporch:</t>
        </r>
        <r>
          <rPr>
            <sz val="8"/>
            <color indexed="81"/>
            <rFont val="Tahoma"/>
            <family val="2"/>
          </rPr>
          <t xml:space="preserve">
offset to adjust for time of year (0.5 = midyear)
</t>
        </r>
      </text>
    </comment>
    <comment ref="H6" authorId="0" shapeId="0">
      <text>
        <r>
          <rPr>
            <b/>
            <sz val="8"/>
            <color indexed="81"/>
            <rFont val="Tahoma"/>
            <family val="2"/>
          </rPr>
          <t>cporch:</t>
        </r>
        <r>
          <rPr>
            <sz val="8"/>
            <color indexed="81"/>
            <rFont val="Tahoma"/>
            <family val="2"/>
          </rPr>
          <t xml:space="preserve">
shift factor to be subtracted from age class in order to convert VPA age to true age (used by growth curve)
June 15 (assumed birthday) shift</t>
        </r>
      </text>
    </comment>
    <comment ref="O10" authorId="1" shapeId="0">
      <text>
        <r>
          <rPr>
            <sz val="16"/>
            <color indexed="81"/>
            <rFont val="Tahoma"/>
            <family val="2"/>
          </rPr>
          <t>length at a ref</t>
        </r>
      </text>
    </comment>
    <comment ref="A14" authorId="2" shapeId="0">
      <text>
        <r>
          <rPr>
            <b/>
            <sz val="9"/>
            <color indexed="81"/>
            <rFont val="Tahoma"/>
            <family val="2"/>
          </rPr>
          <t>John Walter III:</t>
        </r>
        <r>
          <rPr>
            <sz val="9"/>
            <color indexed="81"/>
            <rFont val="Tahoma"/>
            <family val="2"/>
          </rPr>
          <t xml:space="preserve">
natural mortality at unit length</t>
        </r>
      </text>
    </comment>
    <comment ref="O14" authorId="2" shapeId="0">
      <text>
        <r>
          <rPr>
            <b/>
            <sz val="9"/>
            <color indexed="81"/>
            <rFont val="Tahoma"/>
            <family val="2"/>
          </rPr>
          <t>John Walter III:</t>
        </r>
        <r>
          <rPr>
            <sz val="9"/>
            <color indexed="81"/>
            <rFont val="Tahoma"/>
            <family val="2"/>
          </rPr>
          <t xml:space="preserve">
natural mortality at unit length</t>
        </r>
      </text>
    </comment>
  </commentList>
</comments>
</file>

<file path=xl/comments3.xml><?xml version="1.0" encoding="utf-8"?>
<comments xmlns="http://schemas.openxmlformats.org/spreadsheetml/2006/main">
  <authors>
    <author>cporch</author>
  </authors>
  <commentList>
    <comment ref="H2" authorId="0" shapeId="0">
      <text>
        <r>
          <rPr>
            <b/>
            <sz val="8"/>
            <color indexed="81"/>
            <rFont val="Tahoma"/>
            <family val="2"/>
          </rPr>
          <t>cporch:</t>
        </r>
        <r>
          <rPr>
            <sz val="8"/>
            <color indexed="81"/>
            <rFont val="Tahoma"/>
            <family val="2"/>
          </rPr>
          <t xml:space="preserve">
weight length parameter
Use Eastern (from rodrigues-marin et al
Rodriguez-Marin E, Ortiz M, Ortiz de Urbina J.M., Quelle P, Walter J, Abid N, et al. (2015) Atlantic bluefin tuna (Thunnus thynnus ) Biometrics and Condition.
PLoS ONE 10(10): e0141478.doi:10.1371/journal.pone.0141478</t>
        </r>
      </text>
    </comment>
    <comment ref="K4" authorId="0" shapeId="0">
      <text>
        <r>
          <rPr>
            <b/>
            <sz val="8"/>
            <color indexed="81"/>
            <rFont val="Tahoma"/>
            <family val="2"/>
          </rPr>
          <t>cporch:</t>
        </r>
        <r>
          <rPr>
            <sz val="8"/>
            <color indexed="81"/>
            <rFont val="Tahoma"/>
            <family val="2"/>
          </rPr>
          <t xml:space="preserve">
offset to adjust for time of year (0.5 = midyear)
</t>
        </r>
      </text>
    </comment>
    <comment ref="H6" authorId="0" shapeId="0">
      <text>
        <r>
          <rPr>
            <b/>
            <sz val="8"/>
            <color indexed="81"/>
            <rFont val="Tahoma"/>
            <family val="2"/>
          </rPr>
          <t>cporch:</t>
        </r>
        <r>
          <rPr>
            <sz val="8"/>
            <color indexed="81"/>
            <rFont val="Tahoma"/>
            <family val="2"/>
          </rPr>
          <t xml:space="preserve">
shift factor to be subtracted from age class in order to convert VPA age to true age (used by growth curve)
June 15 (assumed birthday) shift</t>
        </r>
      </text>
    </comment>
  </commentList>
</comments>
</file>

<file path=xl/comments4.xml><?xml version="1.0" encoding="utf-8"?>
<comments xmlns="http://schemas.openxmlformats.org/spreadsheetml/2006/main">
  <authors>
    <author>cporch</author>
  </authors>
  <commentList>
    <comment ref="H2" authorId="0" shapeId="0">
      <text>
        <r>
          <rPr>
            <b/>
            <sz val="8"/>
            <color indexed="81"/>
            <rFont val="Tahoma"/>
            <family val="2"/>
          </rPr>
          <t>cporch:</t>
        </r>
        <r>
          <rPr>
            <sz val="8"/>
            <color indexed="81"/>
            <rFont val="Tahoma"/>
            <family val="2"/>
          </rPr>
          <t xml:space="preserve">
weight length parameter
Use Eastern (from rodrigues-marin et al
Rodriguez-Marin E, Ortiz M, Ortiz de Urbina J.M., Quelle P, Walter J, Abid N, et al. (2015) Atlantic bluefin tuna (Thunnus thynnus ) Biometrics and Condition.
PLoS ONE 10(10): e0141478.doi:10.1371/journal.pone.0141478</t>
        </r>
      </text>
    </comment>
    <comment ref="K4" authorId="0" shapeId="0">
      <text>
        <r>
          <rPr>
            <b/>
            <sz val="8"/>
            <color indexed="81"/>
            <rFont val="Tahoma"/>
            <family val="2"/>
          </rPr>
          <t>cporch:</t>
        </r>
        <r>
          <rPr>
            <sz val="8"/>
            <color indexed="81"/>
            <rFont val="Tahoma"/>
            <family val="2"/>
          </rPr>
          <t xml:space="preserve">
offset to adjust for time of year (0.5 = midyear)
</t>
        </r>
      </text>
    </comment>
    <comment ref="H6" authorId="0" shapeId="0">
      <text>
        <r>
          <rPr>
            <b/>
            <sz val="8"/>
            <color indexed="81"/>
            <rFont val="Tahoma"/>
            <family val="2"/>
          </rPr>
          <t>cporch:</t>
        </r>
        <r>
          <rPr>
            <sz val="8"/>
            <color indexed="81"/>
            <rFont val="Tahoma"/>
            <family val="2"/>
          </rPr>
          <t xml:space="preserve">
shift factor to be subtracted from age class in order to convert VPA age to true age (used by growth curve)
June 15 (assumed birthday) shift</t>
        </r>
      </text>
    </comment>
  </commentList>
</comments>
</file>

<file path=xl/comments5.xml><?xml version="1.0" encoding="utf-8"?>
<comments xmlns="http://schemas.openxmlformats.org/spreadsheetml/2006/main">
  <authors>
    <author>cporch</author>
  </authors>
  <commentList>
    <comment ref="H2" authorId="0" shapeId="0">
      <text>
        <r>
          <rPr>
            <b/>
            <sz val="8"/>
            <color indexed="81"/>
            <rFont val="Tahoma"/>
            <family val="2"/>
          </rPr>
          <t>cporch:</t>
        </r>
        <r>
          <rPr>
            <sz val="8"/>
            <color indexed="81"/>
            <rFont val="Tahoma"/>
            <family val="2"/>
          </rPr>
          <t xml:space="preserve">
weight length parameter
Use Eastern (from rodrigues-marin et al
Rodriguez-Marin E, Ortiz M, Ortiz de Urbina J.M., Quelle P, Walter J, Abid N, et al. (2015) Atlantic bluefin tuna (Thunnus thynnus ) Biometrics and Condition.
PLoS ONE 10(10): e0141478.doi:10.1371/journal.pone.0141478</t>
        </r>
      </text>
    </comment>
    <comment ref="K4" authorId="0" shapeId="0">
      <text>
        <r>
          <rPr>
            <b/>
            <sz val="8"/>
            <color indexed="81"/>
            <rFont val="Tahoma"/>
            <family val="2"/>
          </rPr>
          <t>cporch:</t>
        </r>
        <r>
          <rPr>
            <sz val="8"/>
            <color indexed="81"/>
            <rFont val="Tahoma"/>
            <family val="2"/>
          </rPr>
          <t xml:space="preserve">
offset to adjust for time of year (0.5 = midyear)
</t>
        </r>
      </text>
    </comment>
    <comment ref="H6" authorId="0" shapeId="0">
      <text>
        <r>
          <rPr>
            <b/>
            <sz val="8"/>
            <color indexed="81"/>
            <rFont val="Tahoma"/>
            <family val="2"/>
          </rPr>
          <t>cporch:</t>
        </r>
        <r>
          <rPr>
            <sz val="8"/>
            <color indexed="81"/>
            <rFont val="Tahoma"/>
            <family val="2"/>
          </rPr>
          <t xml:space="preserve">
shift factor to be subtracted from age class in order to convert VPA age to true age (used by growth curve)
June 15 (assumed birthday) shift</t>
        </r>
      </text>
    </comment>
  </commentList>
</comments>
</file>

<file path=xl/comments6.xml><?xml version="1.0" encoding="utf-8"?>
<comments xmlns="http://schemas.openxmlformats.org/spreadsheetml/2006/main">
  <authors>
    <author>cporch</author>
  </authors>
  <commentList>
    <comment ref="H2" authorId="0" shapeId="0">
      <text>
        <r>
          <rPr>
            <b/>
            <sz val="8"/>
            <color indexed="81"/>
            <rFont val="Tahoma"/>
            <family val="2"/>
          </rPr>
          <t>cporch:</t>
        </r>
        <r>
          <rPr>
            <sz val="8"/>
            <color indexed="81"/>
            <rFont val="Tahoma"/>
            <family val="2"/>
          </rPr>
          <t xml:space="preserve">
weight length parameter
Use Eastern (from rodrigues-marin et al
Rodriguez-Marin E, Ortiz M, Ortiz de Urbina J.M., Quelle P, Walter J, Abid N, et al. (2015) Atlantic bluefin tuna (Thunnus thynnus ) Biometrics and Condition.
PLoS ONE 10(10): e0141478.doi:10.1371/journal.pone.0141478</t>
        </r>
      </text>
    </comment>
    <comment ref="K4" authorId="0" shapeId="0">
      <text>
        <r>
          <rPr>
            <b/>
            <sz val="8"/>
            <color indexed="81"/>
            <rFont val="Tahoma"/>
            <family val="2"/>
          </rPr>
          <t>cporch:</t>
        </r>
        <r>
          <rPr>
            <sz val="8"/>
            <color indexed="81"/>
            <rFont val="Tahoma"/>
            <family val="2"/>
          </rPr>
          <t xml:space="preserve">
offset to adjust for time of year (0.5 = midyear)
</t>
        </r>
      </text>
    </comment>
    <comment ref="H6" authorId="0" shapeId="0">
      <text>
        <r>
          <rPr>
            <b/>
            <sz val="8"/>
            <color indexed="81"/>
            <rFont val="Tahoma"/>
            <family val="2"/>
          </rPr>
          <t>cporch:</t>
        </r>
        <r>
          <rPr>
            <sz val="8"/>
            <color indexed="81"/>
            <rFont val="Tahoma"/>
            <family val="2"/>
          </rPr>
          <t xml:space="preserve">
shift factor to be subtracted from age class in order to convert VPA age to true age (used by growth curve)
June 15 (assumed birthday) shift</t>
        </r>
      </text>
    </comment>
  </commentList>
</comments>
</file>

<file path=xl/comments7.xml><?xml version="1.0" encoding="utf-8"?>
<comments xmlns="http://schemas.openxmlformats.org/spreadsheetml/2006/main">
  <authors>
    <author>cporch</author>
  </authors>
  <commentList>
    <comment ref="H2" authorId="0" shapeId="0">
      <text>
        <r>
          <rPr>
            <b/>
            <sz val="8"/>
            <color indexed="81"/>
            <rFont val="Tahoma"/>
            <family val="2"/>
          </rPr>
          <t>cporch:</t>
        </r>
        <r>
          <rPr>
            <sz val="8"/>
            <color indexed="81"/>
            <rFont val="Tahoma"/>
            <family val="2"/>
          </rPr>
          <t xml:space="preserve">
weight length parameter
Use Eastern (from rodrigues-marin et al
Rodriguez-Marin E, Ortiz M, Ortiz de Urbina J.M., Quelle P, Walter J, Abid N, et al. (2015) Atlantic bluefin tuna (Thunnus thynnus ) Biometrics and Condition.
PLoS ONE 10(10): e0141478.doi:10.1371/journal.pone.0141478</t>
        </r>
      </text>
    </comment>
    <comment ref="K4" authorId="0" shapeId="0">
      <text>
        <r>
          <rPr>
            <b/>
            <sz val="8"/>
            <color indexed="81"/>
            <rFont val="Tahoma"/>
            <family val="2"/>
          </rPr>
          <t>cporch:</t>
        </r>
        <r>
          <rPr>
            <sz val="8"/>
            <color indexed="81"/>
            <rFont val="Tahoma"/>
            <family val="2"/>
          </rPr>
          <t xml:space="preserve">
offset to adjust for time of year (0.5 = midyear)
</t>
        </r>
      </text>
    </comment>
    <comment ref="H6" authorId="0" shapeId="0">
      <text>
        <r>
          <rPr>
            <b/>
            <sz val="8"/>
            <color indexed="81"/>
            <rFont val="Tahoma"/>
            <family val="2"/>
          </rPr>
          <t>cporch:</t>
        </r>
        <r>
          <rPr>
            <sz val="8"/>
            <color indexed="81"/>
            <rFont val="Tahoma"/>
            <family val="2"/>
          </rPr>
          <t xml:space="preserve">
shift factor to be subtracted from age class in order to convert VPA age to true age (used by growth curve)
June 15 (assumed birthday) shift</t>
        </r>
      </text>
    </comment>
  </commentList>
</comments>
</file>

<file path=xl/comments8.xml><?xml version="1.0" encoding="utf-8"?>
<comments xmlns="http://schemas.openxmlformats.org/spreadsheetml/2006/main">
  <authors>
    <author>cporch</author>
  </authors>
  <commentList>
    <comment ref="H2" authorId="0" shapeId="0">
      <text>
        <r>
          <rPr>
            <b/>
            <sz val="8"/>
            <color indexed="81"/>
            <rFont val="Tahoma"/>
            <family val="2"/>
          </rPr>
          <t>cporch:</t>
        </r>
        <r>
          <rPr>
            <sz val="8"/>
            <color indexed="81"/>
            <rFont val="Tahoma"/>
            <family val="2"/>
          </rPr>
          <t xml:space="preserve">
weight length parameter
Use Eastern (from rodrigues-marin et al
Rodriguez-Marin E, Ortiz M, Ortiz de Urbina J.M., Quelle P, Walter J, Abid N, et al. (2015) Atlantic bluefin tuna (Thunnus thynnus ) Biometrics and Condition.
PLoS ONE 10(10): e0141478.doi:10.1371/journal.pone.0141478</t>
        </r>
      </text>
    </comment>
    <comment ref="K4" authorId="0" shapeId="0">
      <text>
        <r>
          <rPr>
            <b/>
            <sz val="8"/>
            <color indexed="81"/>
            <rFont val="Tahoma"/>
            <family val="2"/>
          </rPr>
          <t>cporch:</t>
        </r>
        <r>
          <rPr>
            <sz val="8"/>
            <color indexed="81"/>
            <rFont val="Tahoma"/>
            <family val="2"/>
          </rPr>
          <t xml:space="preserve">
offset to adjust for time of year (0.5 = midyear)
</t>
        </r>
      </text>
    </comment>
    <comment ref="H6" authorId="0" shapeId="0">
      <text>
        <r>
          <rPr>
            <b/>
            <sz val="8"/>
            <color indexed="81"/>
            <rFont val="Tahoma"/>
            <family val="2"/>
          </rPr>
          <t>cporch:</t>
        </r>
        <r>
          <rPr>
            <sz val="8"/>
            <color indexed="81"/>
            <rFont val="Tahoma"/>
            <family val="2"/>
          </rPr>
          <t xml:space="preserve">
shift factor to be subtracted from age class in order to convert VPA age to true age (used by growth curve)
June 15 (assumed birthday) shift</t>
        </r>
      </text>
    </comment>
  </commentList>
</comments>
</file>

<file path=xl/sharedStrings.xml><?xml version="1.0" encoding="utf-8"?>
<sst xmlns="http://schemas.openxmlformats.org/spreadsheetml/2006/main" count="748" uniqueCount="203">
  <si>
    <t>Age</t>
  </si>
  <si>
    <t>a</t>
  </si>
  <si>
    <t>b</t>
  </si>
  <si>
    <t>tmax</t>
  </si>
  <si>
    <t>Linf</t>
  </si>
  <si>
    <t xml:space="preserve"> </t>
  </si>
  <si>
    <t>K</t>
  </si>
  <si>
    <t>t0</t>
  </si>
  <si>
    <t>Lorenzen</t>
  </si>
  <si>
    <t>TABLE</t>
  </si>
  <si>
    <t>FISHING</t>
  </si>
  <si>
    <t>MORTALITY</t>
  </si>
  <si>
    <t>RATE</t>
  </si>
  <si>
    <t>FOR</t>
  </si>
  <si>
    <t>Tuna</t>
  </si>
  <si>
    <t>offset</t>
  </si>
  <si>
    <t>Lorenzen parameters</t>
  </si>
  <si>
    <t>growth</t>
  </si>
  <si>
    <t>maximum age</t>
  </si>
  <si>
    <t>alpha</t>
  </si>
  <si>
    <t>fully selected age</t>
  </si>
  <si>
    <t>beta</t>
  </si>
  <si>
    <t>linf</t>
  </si>
  <si>
    <t>plus-age</t>
  </si>
  <si>
    <t>k</t>
  </si>
  <si>
    <t>shift</t>
  </si>
  <si>
    <t>M for rescaling</t>
  </si>
  <si>
    <t>Lorenzen for</t>
  </si>
  <si>
    <t xml:space="preserve">calculate M </t>
  </si>
  <si>
    <t>Final</t>
  </si>
  <si>
    <t>age class</t>
  </si>
  <si>
    <t>weight</t>
  </si>
  <si>
    <t>Curve</t>
  </si>
  <si>
    <t>Selected ages</t>
  </si>
  <si>
    <t>rescaled M</t>
  </si>
  <si>
    <t>for plus_age</t>
  </si>
  <si>
    <t>M vector</t>
  </si>
  <si>
    <t>M by Then(hoenig update)</t>
  </si>
  <si>
    <t xml:space="preserve">  </t>
  </si>
  <si>
    <t>Parameters</t>
  </si>
  <si>
    <t>Equations for Estimating M:</t>
  </si>
  <si>
    <t>Equation</t>
  </si>
  <si>
    <t>Alverson &amp; Carney</t>
  </si>
  <si>
    <t>k, tmax</t>
  </si>
  <si>
    <t>Quinn &amp; Deriso (1999):</t>
  </si>
  <si>
    <t>M = 3k/(exp(0.38*tmax*k)-1)</t>
  </si>
  <si>
    <t>Beverton &amp;  Holt</t>
  </si>
  <si>
    <t>k, am</t>
  </si>
  <si>
    <r>
      <t>Beverton and Holt (1956; a</t>
    </r>
    <r>
      <rPr>
        <vertAlign val="subscript"/>
        <sz val="11"/>
        <color indexed="8"/>
        <rFont val="Calibri"/>
        <family val="2"/>
      </rPr>
      <t>m</t>
    </r>
    <r>
      <rPr>
        <sz val="10"/>
        <rFont val="Arial"/>
        <family val="2"/>
      </rPr>
      <t xml:space="preserve"> = age at 50% maturity)</t>
    </r>
  </si>
  <si>
    <r>
      <t>M = 3k/(exp(a</t>
    </r>
    <r>
      <rPr>
        <vertAlign val="subscript"/>
        <sz val="11"/>
        <color indexed="8"/>
        <rFont val="Calibri"/>
        <family val="2"/>
      </rPr>
      <t>m</t>
    </r>
    <r>
      <rPr>
        <sz val="10"/>
        <rFont val="Arial"/>
        <family val="2"/>
      </rPr>
      <t>*k)-1)</t>
    </r>
  </si>
  <si>
    <r>
      <t>Hoenig</t>
    </r>
    <r>
      <rPr>
        <i/>
        <vertAlign val="subscript"/>
        <sz val="10"/>
        <rFont val="Arial"/>
        <family val="2"/>
      </rPr>
      <t>f</t>
    </r>
  </si>
  <si>
    <t>Hoenig (1983; for fish)</t>
  </si>
  <si>
    <t>M=exp(1.46 - 1.01*ln(tmax))</t>
  </si>
  <si>
    <r>
      <t>Hoenig</t>
    </r>
    <r>
      <rPr>
        <b/>
        <vertAlign val="subscript"/>
        <sz val="10"/>
        <rFont val="Arial"/>
        <family val="2"/>
      </rPr>
      <t>c</t>
    </r>
  </si>
  <si>
    <t>Hoenig(1983; fish plus other taxa)</t>
  </si>
  <si>
    <t>M=exp(1.44-0.982*ln(tmax))</t>
  </si>
  <si>
    <t>Pauly</t>
  </si>
  <si>
    <t>Linf, k, T</t>
  </si>
  <si>
    <r>
      <t>M=exp(-0.0152+0.6543*ln(k)-0.279*ln(Linf, cm)+0.4634*lnT(</t>
    </r>
    <r>
      <rPr>
        <sz val="10"/>
        <rFont val="Calibri"/>
        <family val="2"/>
      </rPr>
      <t>°</t>
    </r>
    <r>
      <rPr>
        <sz val="10"/>
        <rFont val="Arial"/>
        <family val="2"/>
      </rPr>
      <t>C))</t>
    </r>
  </si>
  <si>
    <t>Pauly (1980):</t>
  </si>
  <si>
    <t>M = 10^(-0.0066-0.279*(log(Linf))+0.6543*log(K)+0.4634*Log(T))</t>
  </si>
  <si>
    <t>Pauly Method II (snappers and groupers)</t>
  </si>
  <si>
    <t>Pauly and Binohlan (1996)</t>
  </si>
  <si>
    <t>M=10^(-0.0636-0.279*(log(Linf)+0.6543*log(k)+0.4634*log(T))</t>
  </si>
  <si>
    <t>(Ocean Temperature in Table 1)</t>
  </si>
  <si>
    <t>Ralston</t>
  </si>
  <si>
    <t>Ralston (1987)</t>
  </si>
  <si>
    <t>M=0.0189 + 2.06*k</t>
  </si>
  <si>
    <t>Ralston (geometric mean)</t>
  </si>
  <si>
    <t>Ralston Method II</t>
  </si>
  <si>
    <t>M=-0.1778+3.1687*k</t>
  </si>
  <si>
    <t>Lorenzen Age-Specific</t>
  </si>
  <si>
    <t>W at age</t>
  </si>
  <si>
    <t>Lorenzen (1996; ocean)</t>
  </si>
  <si>
    <t>M=3.69*W^(-0.305)</t>
  </si>
  <si>
    <t>Jensen</t>
  </si>
  <si>
    <t>Jensen (1996)</t>
  </si>
  <si>
    <t>M = 1.5*K</t>
  </si>
  <si>
    <t>Alagaraja</t>
  </si>
  <si>
    <t>tmax, survivorship to tmax</t>
  </si>
  <si>
    <t>Alagaraja (1984)</t>
  </si>
  <si>
    <t>M=-ln[S(tmax)]/tmax; derived from S(tmax)=exp(-M*tmax)</t>
  </si>
  <si>
    <t>Rule of thumb</t>
  </si>
  <si>
    <t>Hewitt and Hoenig (2005)</t>
  </si>
  <si>
    <t>M = 2.996/tmax</t>
  </si>
  <si>
    <t>Data Source</t>
  </si>
  <si>
    <t>Observed Max Age (years)</t>
  </si>
  <si>
    <t>Von Bert*</t>
  </si>
  <si>
    <r>
      <t>Water Temp. (</t>
    </r>
    <r>
      <rPr>
        <b/>
        <sz val="12"/>
        <rFont val="Arial"/>
        <family val="2"/>
      </rPr>
      <t>°C</t>
    </r>
    <r>
      <rPr>
        <b/>
        <sz val="10"/>
        <rFont val="Calibri"/>
        <family val="2"/>
      </rPr>
      <t>)</t>
    </r>
  </si>
  <si>
    <t>Number of Fish Aged</t>
  </si>
  <si>
    <t>Linf (mm)</t>
  </si>
  <si>
    <t>age at maturity</t>
  </si>
  <si>
    <t>Then</t>
  </si>
  <si>
    <t>Mexp(-0.0152+0.6543*ln(k)-0.279*ln(Linf, cm)+0.4634*lnT(°C))</t>
  </si>
  <si>
    <t>average over chosen ages</t>
  </si>
  <si>
    <t xml:space="preserve">All </t>
  </si>
  <si>
    <t>Ralston (geomean)</t>
  </si>
  <si>
    <t>Hoenig</t>
  </si>
  <si>
    <t>Pauly II (snap&amp;group)</t>
  </si>
  <si>
    <t>Then growth</t>
  </si>
  <si>
    <t>cumL</t>
  </si>
  <si>
    <t>cumM</t>
  </si>
  <si>
    <t>Djabali et al., (1994)</t>
  </si>
  <si>
    <t>len at Mat (mm)</t>
  </si>
  <si>
    <t>Roff's</t>
  </si>
  <si>
    <t>Rikhter &amp; Efanov 1976</t>
  </si>
  <si>
    <t>Griffiths and Harrod (2007)</t>
  </si>
  <si>
    <t>Winf</t>
  </si>
  <si>
    <t>Djabali et al.</t>
  </si>
  <si>
    <t>Rikhter &amp; Efanov</t>
  </si>
  <si>
    <t>Griffiths and Harrod</t>
  </si>
  <si>
    <t>jensen 2</t>
  </si>
  <si>
    <t>to</t>
  </si>
  <si>
    <t>average</t>
  </si>
  <si>
    <t>citation</t>
  </si>
  <si>
    <t>Linf, k</t>
  </si>
  <si>
    <t>Linf, k, Lm</t>
  </si>
  <si>
    <t>am</t>
  </si>
  <si>
    <t>Winf, k</t>
  </si>
  <si>
    <t>Then et al 2014</t>
  </si>
  <si>
    <t>Pauly (1980)</t>
  </si>
  <si>
    <t>Roff (1984)</t>
  </si>
  <si>
    <t>Rikhter &amp; Efanov (1976)</t>
  </si>
  <si>
    <t>Beverton and Holt (1956)</t>
  </si>
  <si>
    <t>Estimator</t>
  </si>
  <si>
    <t>Estimate</t>
  </si>
  <si>
    <t>Quinn &amp; Deriso (1999)</t>
  </si>
  <si>
    <t>M=1.65/tmax</t>
  </si>
  <si>
    <t>M=(1.521/am^0.72)-0.155</t>
  </si>
  <si>
    <t>M=4.899*tmax^-0.916</t>
  </si>
  <si>
    <t>M=1.0661*Linf^(-0.1172)*k^0.5092</t>
  </si>
  <si>
    <t>M=4.118*Linf^0.73*k^-0.33</t>
  </si>
  <si>
    <t>M=(3*k*Linf*(1-Lm/Linf))/Lm</t>
  </si>
  <si>
    <t>M=1.046*Winf^-0.096</t>
  </si>
  <si>
    <r>
      <t>M = 3k/(exp(a</t>
    </r>
    <r>
      <rPr>
        <vertAlign val="subscript"/>
        <sz val="10"/>
        <color indexed="8"/>
        <rFont val="Calibri"/>
        <family val="2"/>
      </rPr>
      <t>m</t>
    </r>
    <r>
      <rPr>
        <sz val="10"/>
        <rFont val="Arial"/>
        <family val="2"/>
      </rPr>
      <t>*k)-1)</t>
    </r>
  </si>
  <si>
    <t>Parms</t>
  </si>
  <si>
    <t>M=c*weight^d</t>
  </si>
  <si>
    <t>D15*cum_M/cum_L</t>
  </si>
  <si>
    <t>if(age&lt;tc,D1,"")</t>
  </si>
  <si>
    <t>target_M</t>
  </si>
  <si>
    <t>(1996; natural)</t>
  </si>
  <si>
    <t>Western</t>
  </si>
  <si>
    <t>Bluefin</t>
  </si>
  <si>
    <t>Assessment</t>
  </si>
  <si>
    <t>=======================================================================================================================</t>
  </si>
  <si>
    <t>-----------------------------------------------------------------------------------------------------------------------</t>
  </si>
  <si>
    <t>overall</t>
  </si>
  <si>
    <t>recent</t>
  </si>
  <si>
    <t>(LinfR+(lminR-LinfR)*(EXP(-k*(D7-afix))))^(invR)</t>
  </si>
  <si>
    <t>−0.12</t>
  </si>
  <si>
    <t>p</t>
  </si>
  <si>
    <t>L1</t>
  </si>
  <si>
    <t>L2</t>
  </si>
  <si>
    <t>A1</t>
  </si>
  <si>
    <t>A2</t>
  </si>
  <si>
    <t>Schnute-richards model</t>
  </si>
  <si>
    <t>WBFT</t>
  </si>
  <si>
    <t>EBFT</t>
  </si>
  <si>
    <t>Hoenig (1983)</t>
  </si>
  <si>
    <t>VB growth</t>
  </si>
  <si>
    <t>aa</t>
  </si>
  <si>
    <t>bb</t>
  </si>
  <si>
    <t>HoenigM=0.12</t>
  </si>
  <si>
    <t>richards, then M 0.19</t>
  </si>
  <si>
    <t xml:space="preserve"> upper (0.24)</t>
  </si>
  <si>
    <t>lower (0.14)</t>
  </si>
  <si>
    <t>% diffs</t>
  </si>
  <si>
    <t>T0</t>
  </si>
  <si>
    <t>EXP(1.46+-1.01*LN(tmax))</t>
  </si>
  <si>
    <t xml:space="preserve">bluefin tuna Natural Mortality </t>
  </si>
  <si>
    <t>Von bert (East)</t>
  </si>
  <si>
    <t>Von bert (West)</t>
  </si>
  <si>
    <t>Richards (East)</t>
  </si>
  <si>
    <t>Richards (West)</t>
  </si>
  <si>
    <t>*</t>
  </si>
  <si>
    <t>use K</t>
  </si>
  <si>
    <t>EBFT_VB</t>
  </si>
  <si>
    <t>WBFT_VB</t>
  </si>
  <si>
    <t>EBFT_Richards</t>
  </si>
  <si>
    <t>WBFT_Richards</t>
  </si>
  <si>
    <t>refage</t>
  </si>
  <si>
    <t>Target M</t>
  </si>
  <si>
    <t>Morph</t>
  </si>
  <si>
    <t>L_a_A2</t>
  </si>
  <si>
    <t>To</t>
  </si>
  <si>
    <t>Loren_temp2</t>
  </si>
  <si>
    <t>Length_at_tc</t>
  </si>
  <si>
    <t>L_a_A1_0.5</t>
  </si>
  <si>
    <t>Loren_M1</t>
  </si>
  <si>
    <t>age</t>
  </si>
  <si>
    <t>Lorenzen M=0.1</t>
  </si>
  <si>
    <t>10%</t>
  </si>
  <si>
    <t>90%</t>
  </si>
  <si>
    <t>SBT 50%</t>
  </si>
  <si>
    <t>Whitlock (PBT)</t>
  </si>
  <si>
    <r>
      <t>Ages 1-2: 0.22 yr</t>
    </r>
    <r>
      <rPr>
        <vertAlign val="superscript"/>
        <sz val="12"/>
        <color theme="1"/>
        <rFont val="Times New Roman"/>
        <family val="1"/>
      </rPr>
      <t>-1</t>
    </r>
    <r>
      <rPr>
        <sz val="12"/>
        <color theme="1"/>
        <rFont val="Times New Roman"/>
        <family val="1"/>
      </rPr>
      <t>, Age 3: 0.13 yr</t>
    </r>
    <r>
      <rPr>
        <vertAlign val="superscript"/>
        <sz val="12"/>
        <color theme="1"/>
        <rFont val="Times New Roman"/>
        <family val="1"/>
      </rPr>
      <t>-1</t>
    </r>
    <r>
      <rPr>
        <sz val="12"/>
        <color theme="1"/>
        <rFont val="Times New Roman"/>
        <family val="1"/>
      </rPr>
      <t>, Ages 4+: 0.10 yr</t>
    </r>
    <r>
      <rPr>
        <vertAlign val="superscript"/>
        <sz val="12"/>
        <color theme="1"/>
        <rFont val="Times New Roman"/>
        <family val="1"/>
      </rPr>
      <t>-1</t>
    </r>
  </si>
  <si>
    <t>PBT</t>
  </si>
  <si>
    <t>SBT 50%</t>
    <phoneticPr fontId="37"/>
  </si>
  <si>
    <t>SBT 10%</t>
    <phoneticPr fontId="37"/>
  </si>
  <si>
    <t>SBT 90%</t>
    <phoneticPr fontId="37"/>
  </si>
  <si>
    <t>Lorenzen M=0.1, -0.05</t>
    <phoneticPr fontId="37"/>
  </si>
  <si>
    <t>Lorenzen M=0.1, +0.05</t>
    <phoneticPr fontId="37"/>
  </si>
  <si>
    <t>SS_scaling, m=0.1</t>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</si>
</sst>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_(* #,##0.00_);_(* \(#,##0.00\);_(* &quot;-&quot;??_);_(@_)"/>
    <numFmt numFmtId="177" formatCode="0.000"/>
    <numFmt numFmtId="178" formatCode="0.00000"/>
    <numFmt numFmtId="179" formatCode="0.0000"/>
    <numFmt numFmtId="180" formatCode="0.0"/>
    <numFmt numFmtId="181" formatCode="0.0000000"/>
    <numFmt numFmtId="182" formatCode="_(* #,##0.00000_);_(* \(#,##0.00000\);_(* &quot;-&quot;??_);_(@_)"/>
    <numFmt numFmtId="183" formatCode="_(* #,##0.0000_);_(* \(#,##0.0000\);_(* &quot;-&quot;??_);_(@_)"/>
    <numFmt numFmtId="184" formatCode="_(* #,##0.000000_);_(* \(#,##0.000000\);_(* &quot;-&quot;??_);_(@_)"/>
    <numFmt numFmtId="185" formatCode="0.000000"/>
    <numFmt numFmtId="186" formatCode="0.000000000"/>
  </numFmts>
  <fonts count="38" x14ac:knownFonts="1">
    <font>
      <sz val="11"/>
      <color theme="1"/>
      <name val="ＭＳ Ｐゴシック"/>
      <family val="2"/>
      <scheme val="minor"/>
    </font>
    <font>
      <sz val="11"/>
      <color theme="1"/>
      <name val="ＭＳ Ｐゴシック"/>
      <family val="2"/>
      <scheme val="minor"/>
    </font>
    <font>
      <b/>
      <sz val="11"/>
      <color theme="1"/>
      <name val="ＭＳ Ｐゴシック"/>
      <family val="2"/>
      <scheme val="minor"/>
    </font>
    <font>
      <b/>
      <sz val="10"/>
      <name val="Arial"/>
      <family val="2"/>
    </font>
    <font>
      <sz val="10"/>
      <name val="Arial"/>
      <family val="2"/>
    </font>
    <font>
      <sz val="8"/>
      <color indexed="81"/>
      <name val="Tahoma"/>
      <family val="2"/>
    </font>
    <font>
      <b/>
      <sz val="10"/>
      <color indexed="10"/>
      <name val="Arial"/>
      <family val="2"/>
    </font>
    <font>
      <sz val="10"/>
      <color indexed="10"/>
      <name val="Arial"/>
      <family val="2"/>
    </font>
    <font>
      <sz val="10"/>
      <color indexed="12"/>
      <name val="Arial"/>
      <family val="2"/>
    </font>
    <font>
      <b/>
      <sz val="10"/>
      <color indexed="12"/>
      <name val="Arial"/>
      <family val="2"/>
    </font>
    <font>
      <b/>
      <sz val="8"/>
      <color indexed="81"/>
      <name val="Tahoma"/>
      <family val="2"/>
    </font>
    <font>
      <sz val="11"/>
      <color indexed="8"/>
      <name val="Calibri"/>
      <family val="2"/>
    </font>
    <font>
      <u/>
      <sz val="10"/>
      <name val="Arial"/>
      <family val="2"/>
    </font>
    <font>
      <vertAlign val="subscript"/>
      <sz val="11"/>
      <color indexed="8"/>
      <name val="Calibri"/>
      <family val="2"/>
    </font>
    <font>
      <i/>
      <vertAlign val="subscript"/>
      <sz val="10"/>
      <name val="Arial"/>
      <family val="2"/>
    </font>
    <font>
      <b/>
      <vertAlign val="subscript"/>
      <sz val="10"/>
      <name val="Arial"/>
      <family val="2"/>
    </font>
    <font>
      <sz val="10"/>
      <name val="Calibri"/>
      <family val="2"/>
    </font>
    <font>
      <b/>
      <sz val="11"/>
      <color indexed="8"/>
      <name val="Calibri"/>
      <family val="2"/>
    </font>
    <font>
      <b/>
      <sz val="12"/>
      <name val="Arial"/>
      <family val="2"/>
    </font>
    <font>
      <b/>
      <sz val="10"/>
      <name val="Calibri"/>
      <family val="2"/>
    </font>
    <font>
      <sz val="11"/>
      <name val="ＭＳ Ｐゴシック"/>
      <family val="2"/>
      <scheme val="minor"/>
    </font>
    <font>
      <i/>
      <sz val="10"/>
      <color rgb="FF222222"/>
      <name val="Times New Roman"/>
      <family val="1"/>
    </font>
    <font>
      <b/>
      <sz val="10"/>
      <color rgb="FF222222"/>
      <name val="Times New Roman"/>
      <family val="1"/>
    </font>
    <font>
      <b/>
      <sz val="11"/>
      <color theme="1"/>
      <name val="Times New Roman"/>
      <family val="1"/>
    </font>
    <font>
      <sz val="11"/>
      <color theme="1"/>
      <name val="Times New Roman"/>
      <family val="1"/>
    </font>
    <font>
      <sz val="10"/>
      <color indexed="8"/>
      <name val="Calibri"/>
      <family val="2"/>
    </font>
    <font>
      <vertAlign val="subscript"/>
      <sz val="10"/>
      <color indexed="8"/>
      <name val="Calibri"/>
      <family val="2"/>
    </font>
    <font>
      <sz val="10"/>
      <color theme="1"/>
      <name val="ＭＳ Ｐゴシック"/>
      <family val="2"/>
      <scheme val="minor"/>
    </font>
    <font>
      <b/>
      <sz val="10"/>
      <color theme="1"/>
      <name val="ＭＳ Ｐゴシック"/>
      <family val="2"/>
      <scheme val="minor"/>
    </font>
    <font>
      <b/>
      <sz val="10"/>
      <color indexed="8"/>
      <name val="Calibri"/>
      <family val="2"/>
    </font>
    <font>
      <b/>
      <i/>
      <sz val="10"/>
      <color indexed="10"/>
      <name val="Arial"/>
      <family val="2"/>
    </font>
    <font>
      <sz val="10"/>
      <color rgb="FF263238"/>
      <name val="Arial"/>
      <family val="2"/>
    </font>
    <font>
      <sz val="16"/>
      <color indexed="81"/>
      <name val="Tahoma"/>
      <family val="2"/>
    </font>
    <font>
      <b/>
      <sz val="9"/>
      <color indexed="81"/>
      <name val="Tahoma"/>
      <family val="2"/>
    </font>
    <font>
      <sz val="9"/>
      <color indexed="81"/>
      <name val="Tahoma"/>
      <family val="2"/>
    </font>
    <font>
      <sz val="12"/>
      <color theme="1"/>
      <name val="Times New Roman"/>
      <family val="1"/>
    </font>
    <font>
      <vertAlign val="superscript"/>
      <sz val="12"/>
      <color theme="1"/>
      <name val="Times New Roman"/>
      <family val="1"/>
    </font>
    <font>
      <sz val="6"/>
      <name val="ＭＳ Ｐゴシック"/>
      <family val="3"/>
      <charset val="128"/>
      <scheme val="minor"/>
    </font>
  </fonts>
  <fills count="13">
    <fill>
      <patternFill patternType="none"/>
    </fill>
    <fill>
      <patternFill patternType="gray125"/>
    </fill>
    <fill>
      <patternFill patternType="solid">
        <fgColor indexed="46"/>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45"/>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indexed="9"/>
        <bgColor indexed="64"/>
      </patternFill>
    </fill>
    <fill>
      <patternFill patternType="solid">
        <fgColor rgb="FF00B0F0"/>
        <bgColor indexed="64"/>
      </patternFill>
    </fill>
    <fill>
      <patternFill patternType="solid">
        <fgColor indexed="51"/>
        <bgColor indexed="64"/>
      </patternFill>
    </fill>
  </fills>
  <borders count="14">
    <border>
      <left/>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
    <xf numFmtId="0" fontId="0" fillId="0" borderId="0"/>
    <xf numFmtId="176" fontId="1" fillId="0" borderId="0" applyFont="0" applyFill="0" applyBorder="0" applyAlignment="0" applyProtection="0"/>
    <xf numFmtId="9" fontId="1" fillId="0" borderId="0" applyFont="0" applyFill="0" applyBorder="0" applyAlignment="0" applyProtection="0"/>
    <xf numFmtId="0" fontId="11" fillId="0" borderId="0"/>
  </cellStyleXfs>
  <cellXfs count="230">
    <xf numFmtId="0" fontId="0" fillId="0" borderId="0" xfId="0"/>
    <xf numFmtId="0" fontId="3" fillId="0" borderId="0" xfId="0" applyFont="1"/>
    <xf numFmtId="0" fontId="6" fillId="2" borderId="0" xfId="0" applyFont="1" applyFill="1"/>
    <xf numFmtId="0" fontId="6" fillId="3" borderId="0" xfId="0" applyFont="1" applyFill="1"/>
    <xf numFmtId="178" fontId="0" fillId="0" borderId="0" xfId="0" applyNumberFormat="1" applyAlignment="1">
      <alignment horizontal="center"/>
    </xf>
    <xf numFmtId="0" fontId="6" fillId="4" borderId="0" xfId="0" applyFont="1" applyFill="1"/>
    <xf numFmtId="0" fontId="0" fillId="4" borderId="0" xfId="0" applyFill="1"/>
    <xf numFmtId="0" fontId="0" fillId="0" borderId="0" xfId="0" applyFill="1"/>
    <xf numFmtId="0" fontId="6" fillId="2" borderId="0" xfId="0" applyFont="1" applyFill="1" applyBorder="1"/>
    <xf numFmtId="0" fontId="0" fillId="0" borderId="0" xfId="0" applyFill="1" applyBorder="1"/>
    <xf numFmtId="0" fontId="7" fillId="3" borderId="0" xfId="0" applyFont="1" applyFill="1"/>
    <xf numFmtId="0" fontId="6" fillId="0" borderId="0" xfId="0" applyFont="1" applyFill="1" applyBorder="1"/>
    <xf numFmtId="0" fontId="6" fillId="0" borderId="0" xfId="0" applyFont="1" applyFill="1"/>
    <xf numFmtId="0" fontId="0" fillId="3" borderId="0" xfId="0" applyFill="1"/>
    <xf numFmtId="0" fontId="9" fillId="0" borderId="0" xfId="0" applyFont="1" applyBorder="1" applyAlignment="1">
      <alignment horizontal="left"/>
    </xf>
    <xf numFmtId="0" fontId="8" fillId="0" borderId="0" xfId="0" applyFont="1" applyBorder="1" applyAlignment="1">
      <alignment horizontal="center"/>
    </xf>
    <xf numFmtId="179" fontId="3" fillId="0" borderId="0" xfId="0" applyNumberFormat="1" applyFont="1"/>
    <xf numFmtId="0" fontId="3" fillId="4" borderId="0" xfId="0" applyFont="1" applyFill="1"/>
    <xf numFmtId="0" fontId="3" fillId="3" borderId="0" xfId="0" applyFont="1" applyFill="1"/>
    <xf numFmtId="0" fontId="3" fillId="2" borderId="0" xfId="0" applyFont="1" applyFill="1" applyBorder="1"/>
    <xf numFmtId="0" fontId="3" fillId="2" borderId="0" xfId="0" applyFont="1" applyFill="1"/>
    <xf numFmtId="0" fontId="3" fillId="6" borderId="0" xfId="0" applyFont="1" applyFill="1"/>
    <xf numFmtId="0" fontId="3" fillId="5" borderId="0" xfId="0" applyFont="1" applyFill="1"/>
    <xf numFmtId="178" fontId="3" fillId="7" borderId="0" xfId="0" applyNumberFormat="1" applyFont="1" applyFill="1" applyAlignment="1">
      <alignment horizontal="center"/>
    </xf>
    <xf numFmtId="0" fontId="3" fillId="4" borderId="1" xfId="0" applyFont="1" applyFill="1" applyBorder="1"/>
    <xf numFmtId="0" fontId="3" fillId="3" borderId="1" xfId="0" applyFont="1" applyFill="1" applyBorder="1"/>
    <xf numFmtId="0" fontId="3" fillId="2" borderId="1" xfId="0" applyFont="1" applyFill="1" applyBorder="1"/>
    <xf numFmtId="0" fontId="3" fillId="6" borderId="1" xfId="0" applyFont="1" applyFill="1" applyBorder="1"/>
    <xf numFmtId="0" fontId="3" fillId="5" borderId="1" xfId="0" applyFont="1" applyFill="1" applyBorder="1"/>
    <xf numFmtId="178" fontId="3" fillId="7" borderId="0" xfId="0" applyNumberFormat="1" applyFont="1" applyFill="1" applyBorder="1" applyAlignment="1">
      <alignment horizontal="center"/>
    </xf>
    <xf numFmtId="0" fontId="0" fillId="2" borderId="0" xfId="0" applyFill="1"/>
    <xf numFmtId="0" fontId="0" fillId="6" borderId="0" xfId="0" applyFill="1"/>
    <xf numFmtId="0" fontId="0" fillId="5" borderId="0" xfId="0" applyFill="1"/>
    <xf numFmtId="178" fontId="0" fillId="9" borderId="2" xfId="0" applyNumberFormat="1" applyFill="1" applyBorder="1" applyAlignment="1">
      <alignment horizontal="center"/>
    </xf>
    <xf numFmtId="0" fontId="0" fillId="10" borderId="0" xfId="0" applyFill="1"/>
    <xf numFmtId="178" fontId="0" fillId="9" borderId="3" xfId="0" applyNumberFormat="1" applyFill="1" applyBorder="1" applyAlignment="1">
      <alignment horizontal="center"/>
    </xf>
    <xf numFmtId="178" fontId="0" fillId="9" borderId="4" xfId="0" applyNumberFormat="1" applyFill="1" applyBorder="1" applyAlignment="1">
      <alignment horizontal="center"/>
    </xf>
    <xf numFmtId="178" fontId="0" fillId="7" borderId="0" xfId="0" applyNumberFormat="1" applyFill="1" applyAlignment="1">
      <alignment horizontal="center"/>
    </xf>
    <xf numFmtId="0" fontId="9" fillId="6" borderId="0" xfId="0" applyFont="1" applyFill="1"/>
    <xf numFmtId="0" fontId="9" fillId="5" borderId="0" xfId="0" applyFont="1" applyFill="1"/>
    <xf numFmtId="179" fontId="9" fillId="0" borderId="0" xfId="0" applyNumberFormat="1" applyFont="1" applyBorder="1" applyAlignment="1"/>
    <xf numFmtId="1" fontId="0" fillId="8" borderId="0" xfId="0" applyNumberFormat="1" applyFill="1"/>
    <xf numFmtId="2" fontId="0" fillId="0" borderId="0" xfId="0" applyNumberFormat="1"/>
    <xf numFmtId="179" fontId="0" fillId="0" borderId="0" xfId="0" applyNumberFormat="1" applyFill="1"/>
    <xf numFmtId="179" fontId="0" fillId="0" borderId="0" xfId="0" applyNumberFormat="1"/>
    <xf numFmtId="0" fontId="11" fillId="0" borderId="0" xfId="3"/>
    <xf numFmtId="182" fontId="11" fillId="0" borderId="0" xfId="1" applyNumberFormat="1" applyFont="1"/>
    <xf numFmtId="183" fontId="11" fillId="0" borderId="0" xfId="1" applyNumberFormat="1" applyFont="1"/>
    <xf numFmtId="184" fontId="11" fillId="0" borderId="0" xfId="1" applyNumberFormat="1" applyFont="1"/>
    <xf numFmtId="0" fontId="3" fillId="0" borderId="0" xfId="3" applyFont="1"/>
    <xf numFmtId="0" fontId="11" fillId="0" borderId="0" xfId="3" applyFill="1"/>
    <xf numFmtId="0" fontId="11" fillId="0" borderId="0" xfId="3" applyFont="1" applyBorder="1"/>
    <xf numFmtId="0" fontId="11" fillId="0" borderId="0" xfId="3" applyBorder="1"/>
    <xf numFmtId="0" fontId="3" fillId="0" borderId="5" xfId="3" applyFont="1" applyBorder="1"/>
    <xf numFmtId="0" fontId="12" fillId="0" borderId="6" xfId="3" applyFont="1" applyBorder="1" applyAlignment="1">
      <alignment horizontal="center"/>
    </xf>
    <xf numFmtId="0" fontId="11" fillId="0" borderId="6" xfId="3" applyBorder="1"/>
    <xf numFmtId="0" fontId="11" fillId="0" borderId="6" xfId="3" applyBorder="1" applyAlignment="1">
      <alignment horizontal="center"/>
    </xf>
    <xf numFmtId="0" fontId="3" fillId="0" borderId="10" xfId="3" applyFont="1" applyBorder="1" applyAlignment="1">
      <alignment horizontal="right"/>
    </xf>
    <xf numFmtId="0" fontId="11" fillId="0" borderId="0" xfId="3" applyBorder="1" applyAlignment="1">
      <alignment horizontal="center"/>
    </xf>
    <xf numFmtId="0" fontId="11" fillId="0" borderId="0" xfId="3" applyBorder="1" applyAlignment="1">
      <alignment horizontal="left"/>
    </xf>
    <xf numFmtId="0" fontId="11" fillId="0" borderId="0" xfId="3" applyBorder="1" applyAlignment="1">
      <alignment horizontal="left" wrapText="1"/>
    </xf>
    <xf numFmtId="0" fontId="4" fillId="0" borderId="0" xfId="3" applyFont="1" applyBorder="1" applyAlignment="1">
      <alignment horizontal="left"/>
    </xf>
    <xf numFmtId="0" fontId="3" fillId="0" borderId="10" xfId="3" applyFont="1" applyBorder="1" applyAlignment="1">
      <alignment horizontal="right" wrapText="1"/>
    </xf>
    <xf numFmtId="0" fontId="11" fillId="0" borderId="10" xfId="3" applyBorder="1" applyAlignment="1">
      <alignment horizontal="right"/>
    </xf>
    <xf numFmtId="0" fontId="17" fillId="0" borderId="10" xfId="3" applyFont="1" applyBorder="1" applyAlignment="1">
      <alignment horizontal="right"/>
    </xf>
    <xf numFmtId="0" fontId="11" fillId="0" borderId="0" xfId="3" applyFill="1" applyBorder="1" applyAlignment="1">
      <alignment horizontal="left"/>
    </xf>
    <xf numFmtId="0" fontId="11" fillId="0" borderId="0" xfId="3" applyBorder="1" applyAlignment="1">
      <alignment horizontal="center" wrapText="1"/>
    </xf>
    <xf numFmtId="0" fontId="17" fillId="0" borderId="11" xfId="3" applyFont="1" applyBorder="1" applyAlignment="1">
      <alignment horizontal="right"/>
    </xf>
    <xf numFmtId="0" fontId="11" fillId="0" borderId="1" xfId="3" applyBorder="1" applyAlignment="1">
      <alignment horizontal="center"/>
    </xf>
    <xf numFmtId="0" fontId="11" fillId="0" borderId="1" xfId="3" applyBorder="1"/>
    <xf numFmtId="0" fontId="3" fillId="0" borderId="12" xfId="3" applyFont="1" applyBorder="1" applyAlignment="1">
      <alignment horizontal="center"/>
    </xf>
    <xf numFmtId="0" fontId="4" fillId="0" borderId="7" xfId="3" applyFont="1" applyBorder="1" applyAlignment="1">
      <alignment wrapText="1"/>
    </xf>
    <xf numFmtId="0" fontId="11" fillId="0" borderId="0" xfId="3" applyFill="1" applyBorder="1"/>
    <xf numFmtId="177" fontId="11" fillId="0" borderId="0" xfId="3" applyNumberFormat="1" applyFill="1" applyBorder="1" applyAlignment="1">
      <alignment horizontal="center"/>
    </xf>
    <xf numFmtId="179" fontId="11" fillId="0" borderId="0" xfId="3" applyNumberFormat="1"/>
    <xf numFmtId="179" fontId="11" fillId="0" borderId="6" xfId="3" applyNumberFormat="1" applyBorder="1"/>
    <xf numFmtId="179" fontId="11" fillId="0" borderId="0" xfId="3" applyNumberFormat="1" applyBorder="1" applyAlignment="1">
      <alignment horizontal="left"/>
    </xf>
    <xf numFmtId="179" fontId="11" fillId="0" borderId="0" xfId="3" applyNumberFormat="1" applyBorder="1" applyAlignment="1">
      <alignment horizontal="left" wrapText="1"/>
    </xf>
    <xf numFmtId="179" fontId="11" fillId="0" borderId="0" xfId="3" applyNumberFormat="1" applyBorder="1"/>
    <xf numFmtId="179" fontId="11" fillId="0" borderId="1" xfId="3" applyNumberFormat="1" applyBorder="1"/>
    <xf numFmtId="179" fontId="3" fillId="0" borderId="11" xfId="3" applyNumberFormat="1" applyFont="1" applyBorder="1" applyAlignment="1">
      <alignment horizontal="center"/>
    </xf>
    <xf numFmtId="181" fontId="11" fillId="0" borderId="0" xfId="3" applyNumberFormat="1"/>
    <xf numFmtId="0" fontId="0" fillId="0" borderId="0" xfId="0" applyBorder="1"/>
    <xf numFmtId="0" fontId="3" fillId="0" borderId="10" xfId="3" applyFont="1" applyBorder="1" applyAlignment="1">
      <alignment vertical="center"/>
    </xf>
    <xf numFmtId="0" fontId="3" fillId="0" borderId="10" xfId="3" applyFont="1" applyBorder="1" applyAlignment="1">
      <alignment vertical="center" wrapText="1"/>
    </xf>
    <xf numFmtId="0" fontId="17" fillId="0" borderId="10" xfId="3" applyFont="1" applyBorder="1" applyAlignment="1">
      <alignment vertical="center"/>
    </xf>
    <xf numFmtId="0" fontId="17" fillId="0" borderId="11" xfId="3" applyFont="1" applyBorder="1" applyAlignment="1">
      <alignment vertical="center"/>
    </xf>
    <xf numFmtId="0" fontId="0" fillId="0" borderId="0" xfId="0" applyAlignment="1">
      <alignment vertical="center"/>
    </xf>
    <xf numFmtId="0" fontId="11" fillId="0" borderId="0" xfId="3" applyAlignment="1">
      <alignment horizontal="center" vertical="center"/>
    </xf>
    <xf numFmtId="0" fontId="11" fillId="0" borderId="13" xfId="3" applyBorder="1" applyAlignment="1">
      <alignment horizontal="center" vertical="center"/>
    </xf>
    <xf numFmtId="0" fontId="11" fillId="0" borderId="13" xfId="3" applyFont="1" applyBorder="1" applyAlignment="1">
      <alignment horizontal="center" vertical="center"/>
    </xf>
    <xf numFmtId="0" fontId="0" fillId="0" borderId="0" xfId="0" applyAlignment="1">
      <alignment horizontal="center" vertical="center"/>
    </xf>
    <xf numFmtId="0" fontId="11" fillId="0" borderId="9" xfId="3" applyFont="1" applyFill="1" applyBorder="1" applyAlignment="1">
      <alignment horizontal="center" vertical="center"/>
    </xf>
    <xf numFmtId="0" fontId="11" fillId="0" borderId="0" xfId="3" applyFont="1" applyFill="1" applyBorder="1" applyAlignment="1">
      <alignment horizontal="center" vertical="center"/>
    </xf>
    <xf numFmtId="177" fontId="11" fillId="0" borderId="8" xfId="3" applyNumberFormat="1" applyFill="1" applyBorder="1" applyAlignment="1">
      <alignment horizontal="center" vertical="center"/>
    </xf>
    <xf numFmtId="177" fontId="11" fillId="0" borderId="7" xfId="3" applyNumberFormat="1" applyFill="1" applyBorder="1" applyAlignment="1">
      <alignment horizontal="center" vertical="center"/>
    </xf>
    <xf numFmtId="183" fontId="11" fillId="0" borderId="0" xfId="1" applyNumberFormat="1" applyFont="1" applyAlignment="1">
      <alignment horizontal="center" vertical="center"/>
    </xf>
    <xf numFmtId="184" fontId="11" fillId="0" borderId="0" xfId="1" applyNumberFormat="1" applyFont="1" applyAlignment="1">
      <alignment horizontal="center" vertical="center"/>
    </xf>
    <xf numFmtId="182" fontId="11" fillId="0" borderId="0" xfId="1" applyNumberFormat="1" applyFont="1" applyAlignment="1">
      <alignment horizontal="center" vertical="center"/>
    </xf>
    <xf numFmtId="0" fontId="11" fillId="0" borderId="0" xfId="3" applyFill="1" applyAlignment="1">
      <alignment horizontal="center" vertical="center"/>
    </xf>
    <xf numFmtId="181" fontId="11" fillId="0" borderId="0" xfId="3" applyNumberFormat="1" applyAlignment="1">
      <alignment horizontal="center" vertical="center"/>
    </xf>
    <xf numFmtId="0" fontId="0" fillId="11" borderId="0" xfId="0" applyFill="1"/>
    <xf numFmtId="179" fontId="0" fillId="11" borderId="0" xfId="0" applyNumberFormat="1" applyFill="1"/>
    <xf numFmtId="179" fontId="0" fillId="0" borderId="0" xfId="0" applyNumberFormat="1" applyBorder="1"/>
    <xf numFmtId="179" fontId="0" fillId="0" borderId="0" xfId="0" applyNumberFormat="1" applyFill="1" applyBorder="1"/>
    <xf numFmtId="0" fontId="11" fillId="0" borderId="0" xfId="3" applyAlignment="1">
      <alignment horizontal="center" vertical="center" wrapText="1"/>
    </xf>
    <xf numFmtId="0" fontId="4" fillId="0" borderId="10" xfId="3" applyFont="1" applyBorder="1" applyAlignment="1">
      <alignment vertical="center"/>
    </xf>
    <xf numFmtId="0" fontId="11" fillId="0" borderId="10" xfId="3" applyFont="1" applyBorder="1" applyAlignment="1">
      <alignment vertical="center"/>
    </xf>
    <xf numFmtId="0" fontId="11" fillId="0" borderId="11" xfId="3" applyFont="1" applyBorder="1" applyAlignment="1">
      <alignment vertical="center"/>
    </xf>
    <xf numFmtId="0" fontId="22" fillId="0" borderId="0" xfId="0" applyFont="1" applyBorder="1" applyAlignment="1">
      <alignment vertical="center" wrapText="1"/>
    </xf>
    <xf numFmtId="0" fontId="23" fillId="0" borderId="0" xfId="0" applyFont="1" applyBorder="1" applyAlignment="1">
      <alignment vertical="center" wrapText="1"/>
    </xf>
    <xf numFmtId="2" fontId="24" fillId="0" borderId="0" xfId="0" applyNumberFormat="1" applyFont="1" applyBorder="1" applyAlignment="1">
      <alignment horizontal="center" vertical="center" wrapText="1"/>
    </xf>
    <xf numFmtId="0" fontId="6" fillId="0" borderId="0" xfId="0" applyFont="1" applyBorder="1"/>
    <xf numFmtId="177" fontId="0" fillId="0" borderId="0" xfId="0" applyNumberFormat="1" applyFill="1"/>
    <xf numFmtId="0" fontId="0" fillId="0" borderId="1" xfId="0" applyBorder="1"/>
    <xf numFmtId="177" fontId="0" fillId="0" borderId="0" xfId="0" applyNumberFormat="1" applyAlignment="1">
      <alignment horizontal="center"/>
    </xf>
    <xf numFmtId="177" fontId="0" fillId="0" borderId="0" xfId="0" applyNumberFormat="1" applyFill="1" applyBorder="1" applyAlignment="1">
      <alignment horizontal="center"/>
    </xf>
    <xf numFmtId="2" fontId="0" fillId="0" borderId="0" xfId="0" applyNumberFormat="1" applyFill="1" applyBorder="1" applyAlignment="1">
      <alignment horizontal="center"/>
    </xf>
    <xf numFmtId="2" fontId="0" fillId="0" borderId="0" xfId="0" applyNumberFormat="1" applyFill="1" applyAlignment="1">
      <alignment horizontal="center"/>
    </xf>
    <xf numFmtId="0" fontId="0" fillId="0" borderId="1" xfId="0" applyFill="1" applyBorder="1" applyAlignment="1">
      <alignment horizontal="center"/>
    </xf>
    <xf numFmtId="0" fontId="4" fillId="0" borderId="0" xfId="3" applyFont="1" applyBorder="1" applyAlignment="1">
      <alignment vertical="center"/>
    </xf>
    <xf numFmtId="0" fontId="0" fillId="0" borderId="0" xfId="0" applyFont="1" applyBorder="1" applyAlignment="1">
      <alignment vertical="center"/>
    </xf>
    <xf numFmtId="179" fontId="0" fillId="0" borderId="0" xfId="0" applyNumberFormat="1" applyAlignment="1">
      <alignment horizontal="center"/>
    </xf>
    <xf numFmtId="0" fontId="0" fillId="0" borderId="1" xfId="0" applyBorder="1" applyAlignment="1">
      <alignment vertical="center"/>
    </xf>
    <xf numFmtId="0" fontId="2" fillId="0" borderId="1" xfId="0" applyFont="1" applyBorder="1"/>
    <xf numFmtId="0" fontId="4" fillId="0" borderId="0" xfId="3" applyFont="1" applyBorder="1" applyAlignment="1">
      <alignment horizontal="left" vertical="center"/>
    </xf>
    <xf numFmtId="0" fontId="25" fillId="0" borderId="0" xfId="3" applyFont="1" applyBorder="1" applyAlignment="1">
      <alignment horizontal="left"/>
    </xf>
    <xf numFmtId="0" fontId="25" fillId="0" borderId="0" xfId="3" applyFont="1"/>
    <xf numFmtId="0" fontId="27" fillId="0" borderId="0" xfId="0" applyFont="1" applyAlignment="1">
      <alignment vertical="center"/>
    </xf>
    <xf numFmtId="0" fontId="28" fillId="0" borderId="1" xfId="0" applyFont="1" applyBorder="1"/>
    <xf numFmtId="0" fontId="29" fillId="0" borderId="1" xfId="3" applyFont="1" applyBorder="1" applyAlignment="1">
      <alignment horizontal="center"/>
    </xf>
    <xf numFmtId="0" fontId="25" fillId="0" borderId="0" xfId="3" applyFont="1" applyBorder="1" applyAlignment="1">
      <alignment horizontal="center"/>
    </xf>
    <xf numFmtId="0" fontId="25" fillId="0" borderId="0" xfId="3" applyFont="1" applyBorder="1" applyAlignment="1">
      <alignment horizontal="left" wrapText="1"/>
    </xf>
    <xf numFmtId="0" fontId="27" fillId="0" borderId="0" xfId="0" applyFont="1" applyBorder="1"/>
    <xf numFmtId="0" fontId="25" fillId="0" borderId="0" xfId="3" applyFont="1" applyBorder="1" applyAlignment="1">
      <alignment vertical="center"/>
    </xf>
    <xf numFmtId="0" fontId="25" fillId="0" borderId="0" xfId="3" applyFont="1" applyFill="1" applyBorder="1" applyAlignment="1">
      <alignment horizontal="left"/>
    </xf>
    <xf numFmtId="0" fontId="25" fillId="0" borderId="0" xfId="3" applyFont="1" applyBorder="1"/>
    <xf numFmtId="0" fontId="27" fillId="0" borderId="0" xfId="0" applyFont="1" applyBorder="1" applyAlignment="1">
      <alignment vertical="center"/>
    </xf>
    <xf numFmtId="0" fontId="3" fillId="4" borderId="0" xfId="0" applyFont="1" applyFill="1" applyBorder="1"/>
    <xf numFmtId="0" fontId="3" fillId="3" borderId="0" xfId="0" applyFont="1" applyFill="1" applyBorder="1"/>
    <xf numFmtId="0" fontId="3" fillId="6" borderId="0" xfId="0" applyFont="1" applyFill="1" applyBorder="1"/>
    <xf numFmtId="0" fontId="3" fillId="5" borderId="0" xfId="0" applyFont="1" applyFill="1" applyBorder="1"/>
    <xf numFmtId="0" fontId="27" fillId="0" borderId="0" xfId="0" applyFont="1" applyFill="1" applyBorder="1"/>
    <xf numFmtId="0" fontId="25" fillId="0" borderId="1" xfId="3" applyFont="1" applyFill="1" applyBorder="1" applyAlignment="1">
      <alignment horizontal="center"/>
    </xf>
    <xf numFmtId="0" fontId="25" fillId="0" borderId="0" xfId="3" applyFont="1" applyFill="1" applyBorder="1" applyAlignment="1">
      <alignment horizontal="center"/>
    </xf>
    <xf numFmtId="177" fontId="27" fillId="0" borderId="0" xfId="0" applyNumberFormat="1" applyFont="1" applyFill="1" applyBorder="1" applyAlignment="1">
      <alignment horizontal="center"/>
    </xf>
    <xf numFmtId="0" fontId="27" fillId="0" borderId="0" xfId="0" applyFont="1" applyFill="1" applyBorder="1" applyAlignment="1">
      <alignment horizontal="center"/>
    </xf>
    <xf numFmtId="2" fontId="0" fillId="0" borderId="0" xfId="0" applyNumberFormat="1" applyAlignment="1">
      <alignment horizontal="center"/>
    </xf>
    <xf numFmtId="0" fontId="3" fillId="0" borderId="6" xfId="3" applyFont="1" applyBorder="1" applyAlignment="1">
      <alignment horizontal="center" wrapText="1"/>
    </xf>
    <xf numFmtId="0" fontId="3" fillId="0" borderId="1" xfId="3" applyFont="1" applyBorder="1" applyAlignment="1">
      <alignment horizontal="center" wrapText="1"/>
    </xf>
    <xf numFmtId="0" fontId="3" fillId="0" borderId="1" xfId="3" applyFont="1" applyBorder="1" applyAlignment="1">
      <alignment horizontal="center"/>
    </xf>
    <xf numFmtId="0" fontId="27" fillId="0" borderId="1" xfId="0" applyFont="1" applyFill="1" applyBorder="1" applyAlignment="1">
      <alignment horizontal="center" wrapText="1"/>
    </xf>
    <xf numFmtId="180" fontId="0" fillId="8" borderId="0" xfId="0" applyNumberFormat="1" applyFill="1"/>
    <xf numFmtId="185" fontId="0" fillId="0" borderId="0" xfId="0" applyNumberFormat="1" applyFill="1" applyBorder="1"/>
    <xf numFmtId="185" fontId="20" fillId="0" borderId="0" xfId="0" applyNumberFormat="1" applyFont="1" applyFill="1" applyBorder="1"/>
    <xf numFmtId="0" fontId="30" fillId="3" borderId="0" xfId="0" applyFont="1" applyFill="1"/>
    <xf numFmtId="2" fontId="6" fillId="3" borderId="0" xfId="0" applyNumberFormat="1" applyFont="1" applyFill="1" applyAlignment="1">
      <alignment horizontal="center"/>
    </xf>
    <xf numFmtId="186" fontId="0" fillId="0" borderId="0" xfId="0" applyNumberFormat="1" applyAlignment="1">
      <alignment horizontal="center"/>
    </xf>
    <xf numFmtId="0" fontId="0" fillId="0" borderId="1" xfId="0" applyFill="1" applyBorder="1"/>
    <xf numFmtId="0" fontId="31" fillId="0" borderId="1" xfId="0" applyFont="1" applyFill="1" applyBorder="1"/>
    <xf numFmtId="9" fontId="0" fillId="0" borderId="0" xfId="2" applyFont="1" applyFill="1" applyAlignment="1">
      <alignment horizontal="center"/>
    </xf>
    <xf numFmtId="2" fontId="6" fillId="2" borderId="0" xfId="0" applyNumberFormat="1" applyFont="1" applyFill="1"/>
    <xf numFmtId="2" fontId="6" fillId="2" borderId="0" xfId="0" applyNumberFormat="1" applyFont="1" applyFill="1" applyBorder="1"/>
    <xf numFmtId="2" fontId="6" fillId="0" borderId="0" xfId="0" applyNumberFormat="1" applyFont="1" applyFill="1" applyBorder="1"/>
    <xf numFmtId="2" fontId="3" fillId="4" borderId="0" xfId="0" applyNumberFormat="1" applyFont="1" applyFill="1"/>
    <xf numFmtId="2" fontId="3" fillId="4" borderId="1" xfId="0" applyNumberFormat="1" applyFont="1" applyFill="1" applyBorder="1"/>
    <xf numFmtId="2" fontId="3" fillId="4" borderId="0" xfId="0" applyNumberFormat="1" applyFont="1" applyFill="1" applyBorder="1"/>
    <xf numFmtId="2" fontId="0" fillId="8" borderId="0" xfId="0" applyNumberFormat="1" applyFill="1"/>
    <xf numFmtId="0" fontId="3" fillId="0" borderId="0" xfId="3" applyFont="1" applyBorder="1" applyAlignment="1">
      <alignment horizontal="center" wrapText="1"/>
    </xf>
    <xf numFmtId="178" fontId="11" fillId="0" borderId="0" xfId="3" applyNumberFormat="1" applyAlignment="1">
      <alignment horizontal="center" vertical="center"/>
    </xf>
    <xf numFmtId="0" fontId="3" fillId="0" borderId="0" xfId="3" applyFont="1" applyBorder="1" applyAlignment="1">
      <alignment vertical="center"/>
    </xf>
    <xf numFmtId="0" fontId="3" fillId="0" borderId="0" xfId="3" applyFont="1" applyBorder="1" applyAlignment="1">
      <alignment vertical="center" wrapText="1"/>
    </xf>
    <xf numFmtId="0" fontId="17" fillId="0" borderId="0" xfId="3" applyFont="1" applyBorder="1" applyAlignment="1">
      <alignment vertical="center"/>
    </xf>
    <xf numFmtId="0" fontId="0" fillId="0" borderId="0" xfId="0" applyBorder="1" applyAlignment="1">
      <alignment vertical="center"/>
    </xf>
    <xf numFmtId="179" fontId="11" fillId="0" borderId="0" xfId="3" applyNumberFormat="1" applyBorder="1" applyAlignment="1">
      <alignment horizontal="center" vertical="center"/>
    </xf>
    <xf numFmtId="179" fontId="11" fillId="0" borderId="0" xfId="3" applyNumberFormat="1" applyFill="1" applyBorder="1" applyAlignment="1">
      <alignment horizontal="center" vertical="center"/>
    </xf>
    <xf numFmtId="179" fontId="11" fillId="0" borderId="0" xfId="3" applyNumberFormat="1" applyBorder="1" applyAlignment="1">
      <alignment horizontal="center" vertical="center" wrapText="1"/>
    </xf>
    <xf numFmtId="179" fontId="11" fillId="0" borderId="0" xfId="3" applyNumberFormat="1" applyBorder="1" applyAlignment="1">
      <alignment horizontal="center"/>
    </xf>
    <xf numFmtId="0" fontId="24" fillId="0" borderId="0" xfId="0" applyFont="1" applyBorder="1" applyAlignment="1">
      <alignment horizontal="center" vertical="center" wrapText="1"/>
    </xf>
    <xf numFmtId="0" fontId="0" fillId="0" borderId="0" xfId="0" applyFill="1" applyBorder="1" applyAlignment="1">
      <alignment horizontal="center" vertical="center"/>
    </xf>
    <xf numFmtId="182" fontId="17" fillId="0" borderId="0" xfId="1" applyNumberFormat="1" applyFont="1" applyAlignment="1">
      <alignment horizontal="left"/>
    </xf>
    <xf numFmtId="0" fontId="11" fillId="12" borderId="0" xfId="3" applyFill="1"/>
    <xf numFmtId="0" fontId="3" fillId="0" borderId="0" xfId="3" applyFont="1" applyAlignment="1"/>
    <xf numFmtId="0" fontId="0" fillId="0" borderId="0" xfId="0" applyAlignment="1">
      <alignment horizontal="right"/>
    </xf>
    <xf numFmtId="0" fontId="2" fillId="0" borderId="0" xfId="0" applyFont="1" applyAlignment="1"/>
    <xf numFmtId="183" fontId="0" fillId="0" borderId="0" xfId="1" applyNumberFormat="1" applyFont="1" applyAlignment="1">
      <alignment horizontal="right"/>
    </xf>
    <xf numFmtId="179" fontId="11" fillId="0" borderId="0" xfId="3" applyNumberFormat="1" applyFill="1" applyAlignment="1">
      <alignment horizontal="right"/>
    </xf>
    <xf numFmtId="0" fontId="3" fillId="0" borderId="0" xfId="0" applyFont="1" applyAlignment="1"/>
    <xf numFmtId="179" fontId="11" fillId="0" borderId="0" xfId="3" applyNumberFormat="1" applyAlignment="1">
      <alignment horizontal="right"/>
    </xf>
    <xf numFmtId="183" fontId="11" fillId="0" borderId="0" xfId="3" applyNumberFormat="1"/>
    <xf numFmtId="0" fontId="11" fillId="0" borderId="0" xfId="3" applyFont="1"/>
    <xf numFmtId="0" fontId="11" fillId="0" borderId="0" xfId="3" applyFont="1" applyFill="1" applyBorder="1" applyAlignment="1">
      <alignment horizontal="center"/>
    </xf>
    <xf numFmtId="0" fontId="11" fillId="0" borderId="0" xfId="3" applyAlignment="1"/>
    <xf numFmtId="2" fontId="11" fillId="0" borderId="0" xfId="1" applyNumberFormat="1" applyFont="1" applyFill="1" applyBorder="1" applyAlignment="1">
      <alignment horizontal="center"/>
    </xf>
    <xf numFmtId="182" fontId="11" fillId="0" borderId="0" xfId="1" applyNumberFormat="1" applyFont="1" applyFill="1"/>
    <xf numFmtId="2" fontId="0" fillId="0" borderId="0" xfId="0" applyNumberFormat="1" applyFill="1"/>
    <xf numFmtId="177" fontId="11" fillId="0" borderId="0" xfId="1" applyNumberFormat="1" applyFont="1" applyFill="1" applyBorder="1" applyAlignment="1">
      <alignment horizontal="center"/>
    </xf>
    <xf numFmtId="0" fontId="3" fillId="0" borderId="0" xfId="0" applyFont="1" applyFill="1" applyBorder="1"/>
    <xf numFmtId="0" fontId="3" fillId="0" borderId="0" xfId="0" applyFont="1" applyFill="1"/>
    <xf numFmtId="178" fontId="3" fillId="0" borderId="0" xfId="0" applyNumberFormat="1" applyFont="1" applyFill="1" applyAlignment="1">
      <alignment horizontal="center"/>
    </xf>
    <xf numFmtId="178" fontId="3" fillId="0" borderId="0" xfId="0" applyNumberFormat="1" applyFont="1" applyFill="1" applyBorder="1" applyAlignment="1">
      <alignment horizontal="center"/>
    </xf>
    <xf numFmtId="178" fontId="0" fillId="0" borderId="0" xfId="0" applyNumberFormat="1" applyFill="1" applyAlignment="1">
      <alignment horizontal="center"/>
    </xf>
    <xf numFmtId="0" fontId="9" fillId="0" borderId="0" xfId="0" applyFont="1" applyFill="1"/>
    <xf numFmtId="178" fontId="0" fillId="0" borderId="0" xfId="0" applyNumberFormat="1" applyFill="1" applyBorder="1" applyAlignment="1">
      <alignment horizontal="center"/>
    </xf>
    <xf numFmtId="185" fontId="0" fillId="9" borderId="0" xfId="0" applyNumberFormat="1" applyFill="1" applyBorder="1"/>
    <xf numFmtId="49" fontId="0" fillId="0" borderId="0" xfId="0" applyNumberFormat="1" applyFont="1"/>
    <xf numFmtId="0" fontId="35" fillId="0" borderId="0" xfId="0" applyFont="1"/>
    <xf numFmtId="1" fontId="0" fillId="0" borderId="0" xfId="0" applyNumberFormat="1"/>
    <xf numFmtId="2" fontId="0" fillId="2" borderId="0" xfId="0" applyNumberFormat="1" applyFill="1" applyAlignment="1">
      <alignment horizontal="center"/>
    </xf>
    <xf numFmtId="2" fontId="0" fillId="6" borderId="0" xfId="0" applyNumberFormat="1" applyFill="1" applyAlignment="1">
      <alignment horizontal="center"/>
    </xf>
    <xf numFmtId="2" fontId="9" fillId="6" borderId="0" xfId="0" applyNumberFormat="1" applyFont="1" applyFill="1"/>
    <xf numFmtId="177" fontId="0" fillId="9" borderId="2" xfId="0" applyNumberFormat="1" applyFill="1" applyBorder="1" applyAlignment="1">
      <alignment horizontal="center"/>
    </xf>
    <xf numFmtId="177" fontId="0" fillId="9" borderId="3" xfId="0" applyNumberFormat="1" applyFill="1" applyBorder="1" applyAlignment="1">
      <alignment horizontal="center"/>
    </xf>
    <xf numFmtId="177" fontId="0" fillId="9" borderId="4" xfId="0" applyNumberFormat="1" applyFill="1" applyBorder="1" applyAlignment="1">
      <alignment horizontal="center"/>
    </xf>
    <xf numFmtId="177" fontId="0" fillId="7" borderId="0" xfId="0" applyNumberFormat="1" applyFill="1" applyAlignment="1">
      <alignment horizontal="center"/>
    </xf>
    <xf numFmtId="2" fontId="0" fillId="9" borderId="0" xfId="0" applyNumberFormat="1" applyFill="1" applyAlignment="1">
      <alignment horizontal="center"/>
    </xf>
    <xf numFmtId="0" fontId="0" fillId="9" borderId="0" xfId="0" applyFill="1"/>
    <xf numFmtId="1" fontId="0" fillId="9" borderId="0" xfId="0" applyNumberFormat="1" applyFill="1" applyAlignment="1">
      <alignment horizontal="center"/>
    </xf>
    <xf numFmtId="179" fontId="0" fillId="9" borderId="0" xfId="0" applyNumberFormat="1" applyFill="1" applyAlignment="1">
      <alignment horizontal="center"/>
    </xf>
    <xf numFmtId="179" fontId="0" fillId="9" borderId="0" xfId="0" applyNumberFormat="1" applyFill="1"/>
    <xf numFmtId="1" fontId="0" fillId="9" borderId="0" xfId="0" applyNumberFormat="1" applyFill="1" applyBorder="1" applyAlignment="1">
      <alignment horizontal="center"/>
    </xf>
    <xf numFmtId="0" fontId="0" fillId="0" borderId="0" xfId="0" applyNumberFormat="1" applyFill="1"/>
    <xf numFmtId="0" fontId="3" fillId="0" borderId="5" xfId="3" applyFont="1" applyBorder="1" applyAlignment="1">
      <alignment horizontal="center"/>
    </xf>
    <xf numFmtId="0" fontId="3" fillId="0" borderId="11" xfId="3" applyFont="1" applyBorder="1" applyAlignment="1">
      <alignment horizontal="center"/>
    </xf>
    <xf numFmtId="0" fontId="3" fillId="0" borderId="6" xfId="3" applyFont="1" applyBorder="1" applyAlignment="1">
      <alignment horizontal="center" wrapText="1"/>
    </xf>
    <xf numFmtId="0" fontId="3" fillId="0" borderId="1" xfId="3" applyFont="1" applyBorder="1" applyAlignment="1">
      <alignment horizontal="center" wrapText="1"/>
    </xf>
    <xf numFmtId="0" fontId="3" fillId="0" borderId="7" xfId="3" applyFont="1" applyBorder="1" applyAlignment="1">
      <alignment horizontal="center"/>
    </xf>
    <xf numFmtId="0" fontId="11" fillId="0" borderId="8" xfId="3" applyBorder="1" applyAlignment="1">
      <alignment horizontal="center"/>
    </xf>
    <xf numFmtId="0" fontId="21" fillId="0" borderId="0" xfId="0" applyFont="1" applyBorder="1" applyAlignment="1">
      <alignment vertical="center" wrapText="1"/>
    </xf>
    <xf numFmtId="0" fontId="21" fillId="0" borderId="0" xfId="0" applyFont="1" applyBorder="1" applyAlignment="1">
      <alignment horizontal="center" vertical="center" wrapText="1"/>
    </xf>
  </cellXfs>
  <cellStyles count="4">
    <cellStyle name="Normal_YEG+Tilefish_NatMortEstimates" xfId="3"/>
    <cellStyle name="パーセント" xfId="2" builtinId="5"/>
    <cellStyle name="桁区切り [0.00]" xfId="1" builtinId="3"/>
    <cellStyle name="標準"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a:t>Lorenzen M vectors</a:t>
            </a:r>
          </a:p>
        </c:rich>
      </c:tx>
      <c:layout>
        <c:manualLayout>
          <c:xMode val="edge"/>
          <c:yMode val="edge"/>
          <c:x val="4.8071062349861991E-2"/>
          <c:y val="0"/>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4265305523776"/>
          <c:y val="0.10690433260602124"/>
          <c:w val="0.86233943174891869"/>
          <c:h val="0.74997386199343752"/>
        </c:manualLayout>
      </c:layout>
      <c:scatterChart>
        <c:scatterStyle val="lineMarker"/>
        <c:varyColors val="0"/>
        <c:ser>
          <c:idx val="1"/>
          <c:order val="0"/>
          <c:tx>
            <c:strRef>
              <c:f>Summary_NewMvector!$B$4</c:f>
              <c:strCache>
                <c:ptCount val="1"/>
                <c:pt idx="0">
                  <c:v>richards, then M 0.19</c:v>
                </c:pt>
              </c:strCache>
            </c:strRef>
          </c:tx>
          <c:spPr>
            <a:ln w="31750" cap="rnd">
              <a:solidFill>
                <a:srgbClr val="FF0000"/>
              </a:solidFill>
              <a:round/>
            </a:ln>
            <a:effectLst/>
          </c:spPr>
          <c:marker>
            <c:symbol val="plus"/>
            <c:size val="5"/>
            <c:spPr>
              <a:noFill/>
              <a:ln w="9525">
                <a:solidFill>
                  <a:schemeClr val="accent2"/>
                </a:solidFill>
              </a:ln>
              <a:effectLst/>
            </c:spPr>
          </c:marker>
          <c:xVal>
            <c:numRef>
              <c:f>Summary_NewMvector!$A$5:$A$30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Summary_NewMvector!$B$5:$B$30</c:f>
              <c:numCache>
                <c:formatCode>0.000</c:formatCode>
                <c:ptCount val="26"/>
                <c:pt idx="0">
                  <c:v>0.88550728086715602</c:v>
                </c:pt>
                <c:pt idx="1">
                  <c:v>0.65450606382472465</c:v>
                </c:pt>
                <c:pt idx="2">
                  <c:v>0.50844150459608017</c:v>
                </c:pt>
                <c:pt idx="3">
                  <c:v>0.41231739855323346</c:v>
                </c:pt>
                <c:pt idx="4">
                  <c:v>0.34685191132922588</c:v>
                </c:pt>
                <c:pt idx="5">
                  <c:v>0.30095076588208997</c:v>
                </c:pt>
                <c:pt idx="6">
                  <c:v>0.26797135936069566</c:v>
                </c:pt>
                <c:pt idx="7">
                  <c:v>0.24378901813724155</c:v>
                </c:pt>
                <c:pt idx="8">
                  <c:v>0.22575619451480652</c:v>
                </c:pt>
                <c:pt idx="9">
                  <c:v>0.21212160267916969</c:v>
                </c:pt>
                <c:pt idx="10">
                  <c:v>0.20169497723853894</c:v>
                </c:pt>
                <c:pt idx="11">
                  <c:v>0.1936474770206158</c:v>
                </c:pt>
                <c:pt idx="12">
                  <c:v>0.18738936491473857</c:v>
                </c:pt>
                <c:pt idx="13">
                  <c:v>0.18249299892860124</c:v>
                </c:pt>
                <c:pt idx="14">
                  <c:v>0.17864311321026149</c:v>
                </c:pt>
                <c:pt idx="15">
                  <c:v>0.17560395149932193</c:v>
                </c:pt>
                <c:pt idx="16">
                  <c:v>0.17319705476957542</c:v>
                </c:pt>
                <c:pt idx="17">
                  <c:v>0.17128593560161698</c:v>
                </c:pt>
                <c:pt idx="18">
                  <c:v>0.16976529882594193</c:v>
                </c:pt>
                <c:pt idx="19">
                  <c:v>0.16855332421852418</c:v>
                </c:pt>
                <c:pt idx="20">
                  <c:v>0.16758605137306379</c:v>
                </c:pt>
                <c:pt idx="21">
                  <c:v>0.16681323416941596</c:v>
                </c:pt>
                <c:pt idx="22">
                  <c:v>0.16619524029509761</c:v>
                </c:pt>
                <c:pt idx="23">
                  <c:v>0.16570070583078242</c:v>
                </c:pt>
                <c:pt idx="24">
                  <c:v>0.16530474341724705</c:v>
                </c:pt>
                <c:pt idx="25">
                  <c:v>0.16498756170683695</c:v>
                </c:pt>
              </c:numCache>
            </c:numRef>
          </c:yVal>
          <c:smooth val="0"/>
          <c:extLst>
            <c:ext xmlns:c16="http://schemas.microsoft.com/office/drawing/2014/chart" uri="{C3380CC4-5D6E-409C-BE32-E72D297353CC}">
              <c16:uniqueId val="{00000001-83D9-433F-85EB-39DA81CDE73C}"/>
            </c:ext>
          </c:extLst>
        </c:ser>
        <c:ser>
          <c:idx val="2"/>
          <c:order val="1"/>
          <c:tx>
            <c:strRef>
              <c:f>Summary_NewMvector!$H$3</c:f>
              <c:strCache>
                <c:ptCount val="1"/>
                <c:pt idx="0">
                  <c:v>WBFT</c:v>
                </c:pt>
              </c:strCache>
            </c:strRef>
          </c:tx>
          <c:spPr>
            <a:ln w="31750" cap="rnd">
              <a:solidFill>
                <a:schemeClr val="accent3"/>
              </a:solidFill>
              <a:round/>
            </a:ln>
            <a:effectLst/>
          </c:spPr>
          <c:marker>
            <c:symbol val="square"/>
            <c:size val="5"/>
            <c:spPr>
              <a:solidFill>
                <a:schemeClr val="accent3"/>
              </a:solidFill>
              <a:ln w="9525">
                <a:solidFill>
                  <a:schemeClr val="accent3"/>
                </a:solidFill>
              </a:ln>
              <a:effectLst/>
            </c:spPr>
          </c:marker>
          <c:xVal>
            <c:numRef>
              <c:f>Summary_NewMvector!$G$6:$G$30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Summary_NewMvector!$H$6:$H$30</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2-83D9-433F-85EB-39DA81CDE73C}"/>
            </c:ext>
          </c:extLst>
        </c:ser>
        <c:ser>
          <c:idx val="3"/>
          <c:order val="2"/>
          <c:tx>
            <c:strRef>
              <c:f>Summary_NewMvector!$I$3</c:f>
              <c:strCache>
                <c:ptCount val="1"/>
                <c:pt idx="0">
                  <c:v>EBFT</c:v>
                </c:pt>
              </c:strCache>
            </c:strRef>
          </c:tx>
          <c:spPr>
            <a:ln w="31750" cap="rnd">
              <a:solidFill>
                <a:schemeClr val="accent4"/>
              </a:solidFill>
              <a:round/>
            </a:ln>
            <a:effectLst/>
          </c:spPr>
          <c:marker>
            <c:symbol val="plus"/>
            <c:size val="5"/>
            <c:spPr>
              <a:noFill/>
              <a:ln w="9525">
                <a:solidFill>
                  <a:schemeClr val="accent4"/>
                </a:solidFill>
              </a:ln>
              <a:effectLst/>
            </c:spPr>
          </c:marker>
          <c:xVal>
            <c:numRef>
              <c:f>Summary_NewMvector!$G$6:$G$30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Summary_NewMvector!$I$6:$I$30</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3-83D9-433F-85EB-39DA81CDE73C}"/>
            </c:ext>
          </c:extLst>
        </c:ser>
        <c:ser>
          <c:idx val="4"/>
          <c:order val="3"/>
          <c:tx>
            <c:strRef>
              <c:f>Summary_NewMvector!$F$4</c:f>
              <c:strCache>
                <c:ptCount val="1"/>
                <c:pt idx="0">
                  <c:v>HoenigM=0.12</c:v>
                </c:pt>
              </c:strCache>
            </c:strRef>
          </c:tx>
          <c:spPr>
            <a:ln w="31750" cap="rnd">
              <a:solidFill>
                <a:schemeClr val="accent5"/>
              </a:solidFill>
              <a:round/>
            </a:ln>
            <a:effectLst/>
          </c:spPr>
          <c:marker>
            <c:symbol val="circle"/>
            <c:size val="5"/>
            <c:spPr>
              <a:solidFill>
                <a:schemeClr val="accent5"/>
              </a:solidFill>
              <a:ln w="9525">
                <a:solidFill>
                  <a:schemeClr val="accent5"/>
                </a:solidFill>
              </a:ln>
              <a:effectLst/>
            </c:spPr>
          </c:marker>
          <c:xVal>
            <c:numRef>
              <c:f>Summary_NewMvector!$A$5:$A$30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Summary_NewMvector!$F$5:$F$30</c:f>
              <c:numCache>
                <c:formatCode>0.000</c:formatCode>
                <c:ptCount val="26"/>
                <c:pt idx="0">
                  <c:v>0.61559033127238394</c:v>
                </c:pt>
                <c:pt idx="1">
                  <c:v>0.45500202353512953</c:v>
                </c:pt>
                <c:pt idx="2">
                  <c:v>0.35346030575877935</c:v>
                </c:pt>
                <c:pt idx="3">
                  <c:v>0.28663638283831394</c:v>
                </c:pt>
                <c:pt idx="4">
                  <c:v>0.24112583556458619</c:v>
                </c:pt>
                <c:pt idx="5">
                  <c:v>0.20921610207948871</c:v>
                </c:pt>
                <c:pt idx="6">
                  <c:v>0.18628935237982433</c:v>
                </c:pt>
                <c:pt idx="7">
                  <c:v>0.16947818011017335</c:v>
                </c:pt>
                <c:pt idx="8">
                  <c:v>0.15694205295756489</c:v>
                </c:pt>
                <c:pt idx="9">
                  <c:v>0.14746350536545019</c:v>
                </c:pt>
                <c:pt idx="10">
                  <c:v>0.14021508409581881</c:v>
                </c:pt>
                <c:pt idx="11">
                  <c:v>0.13462059217903344</c:v>
                </c:pt>
                <c:pt idx="12">
                  <c:v>0.13027005391962568</c:v>
                </c:pt>
                <c:pt idx="13">
                  <c:v>0.12686617952518206</c:v>
                </c:pt>
                <c:pt idx="14">
                  <c:v>0.12418980127745863</c:v>
                </c:pt>
                <c:pt idx="15">
                  <c:v>0.12207702523952982</c:v>
                </c:pt>
                <c:pt idx="16">
                  <c:v>0.12040378958442362</c:v>
                </c:pt>
                <c:pt idx="17">
                  <c:v>0.11907521046697982</c:v>
                </c:pt>
                <c:pt idx="18">
                  <c:v>0.11801808838937694</c:v>
                </c:pt>
                <c:pt idx="19">
                  <c:v>0.11717554325598922</c:v>
                </c:pt>
                <c:pt idx="20">
                  <c:v>0.11650311082744425</c:v>
                </c:pt>
                <c:pt idx="21">
                  <c:v>0.11596586081416296</c:v>
                </c:pt>
                <c:pt idx="22">
                  <c:v>0.11553624147388672</c:v>
                </c:pt>
                <c:pt idx="23">
                  <c:v>0.11519244911747011</c:v>
                </c:pt>
                <c:pt idx="24">
                  <c:v>0.11491718245553939</c:v>
                </c:pt>
                <c:pt idx="25">
                  <c:v>0.11469668286349349</c:v>
                </c:pt>
              </c:numCache>
            </c:numRef>
          </c:yVal>
          <c:smooth val="0"/>
          <c:extLst>
            <c:ext xmlns:c16="http://schemas.microsoft.com/office/drawing/2014/chart" uri="{C3380CC4-5D6E-409C-BE32-E72D297353CC}">
              <c16:uniqueId val="{00000004-83D9-433F-85EB-39DA81CDE73C}"/>
            </c:ext>
          </c:extLst>
        </c:ser>
        <c:ser>
          <c:idx val="0"/>
          <c:order val="4"/>
          <c:tx>
            <c:strRef>
              <c:f>Summary_NewMvector!$C$4</c:f>
              <c:strCache>
                <c:ptCount val="1"/>
                <c:pt idx="0">
                  <c:v>lower (0.14)</c:v>
                </c:pt>
              </c:strCache>
            </c:strRef>
          </c:tx>
          <c:spPr>
            <a:ln w="31750" cap="rnd">
              <a:solidFill>
                <a:srgbClr val="FF0000"/>
              </a:solidFill>
              <a:prstDash val="dash"/>
              <a:round/>
            </a:ln>
            <a:effectLst/>
          </c:spPr>
          <c:marker>
            <c:symbol val="none"/>
          </c:marker>
          <c:xVal>
            <c:numRef>
              <c:f>Summary_NewMvector!$A$5:$A$30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Summary_NewMvector!$C$5:$C$30</c:f>
              <c:numCache>
                <c:formatCode>0.000</c:formatCode>
                <c:ptCount val="26"/>
                <c:pt idx="0">
                  <c:v>0.65702071312049315</c:v>
                </c:pt>
                <c:pt idx="1">
                  <c:v>0.48562451160728498</c:v>
                </c:pt>
                <c:pt idx="2">
                  <c:v>0.3772488461107168</c:v>
                </c:pt>
                <c:pt idx="3">
                  <c:v>0.30592754806504258</c:v>
                </c:pt>
                <c:pt idx="4">
                  <c:v>0.25735405575160025</c:v>
                </c:pt>
                <c:pt idx="5">
                  <c:v>0.22329673745920664</c:v>
                </c:pt>
                <c:pt idx="6">
                  <c:v>0.19882697457960841</c:v>
                </c:pt>
                <c:pt idx="7">
                  <c:v>0.18088437894109724</c:v>
                </c:pt>
                <c:pt idx="8">
                  <c:v>0.16750454696005929</c:v>
                </c:pt>
                <c:pt idx="9">
                  <c:v>0.15738807536856159</c:v>
                </c:pt>
                <c:pt idx="10">
                  <c:v>0.14965182177645678</c:v>
                </c:pt>
                <c:pt idx="11">
                  <c:v>0.14368081007925268</c:v>
                </c:pt>
                <c:pt idx="12">
                  <c:v>0.13903747244958919</c:v>
                </c:pt>
                <c:pt idx="13">
                  <c:v>0.13540451093541561</c:v>
                </c:pt>
                <c:pt idx="14">
                  <c:v>0.13254800742070827</c:v>
                </c:pt>
                <c:pt idx="15">
                  <c:v>0.13029303759973221</c:v>
                </c:pt>
                <c:pt idx="16">
                  <c:v>0.12850719005228253</c:v>
                </c:pt>
                <c:pt idx="17">
                  <c:v>0.12708919507277128</c:v>
                </c:pt>
                <c:pt idx="18">
                  <c:v>0.12596092670012404</c:v>
                </c:pt>
                <c:pt idx="19">
                  <c:v>0.12506167670178439</c:v>
                </c:pt>
                <c:pt idx="20">
                  <c:v>0.1243439883118209</c:v>
                </c:pt>
                <c:pt idx="21">
                  <c:v>0.12377058036676682</c:v>
                </c:pt>
                <c:pt idx="22">
                  <c:v>0.12331204684052507</c:v>
                </c:pt>
                <c:pt idx="23">
                  <c:v>0.12294511661484829</c:v>
                </c:pt>
                <c:pt idx="24">
                  <c:v>0.12265132399119515</c:v>
                </c:pt>
                <c:pt idx="25">
                  <c:v>0.12241598436376901</c:v>
                </c:pt>
              </c:numCache>
            </c:numRef>
          </c:yVal>
          <c:smooth val="0"/>
          <c:extLst>
            <c:ext xmlns:c16="http://schemas.microsoft.com/office/drawing/2014/chart" uri="{C3380CC4-5D6E-409C-BE32-E72D297353CC}">
              <c16:uniqueId val="{00000006-83D9-433F-85EB-39DA81CDE73C}"/>
            </c:ext>
          </c:extLst>
        </c:ser>
        <c:ser>
          <c:idx val="5"/>
          <c:order val="5"/>
          <c:tx>
            <c:strRef>
              <c:f>Summary_NewMvector!$D$4</c:f>
              <c:strCache>
                <c:ptCount val="1"/>
                <c:pt idx="0">
                  <c:v> upper (0.24)</c:v>
                </c:pt>
              </c:strCache>
            </c:strRef>
          </c:tx>
          <c:spPr>
            <a:ln w="31750" cap="rnd">
              <a:solidFill>
                <a:srgbClr val="FF0000"/>
              </a:solidFill>
              <a:prstDash val="dash"/>
              <a:round/>
            </a:ln>
            <a:effectLst/>
          </c:spPr>
          <c:marker>
            <c:symbol val="none"/>
          </c:marker>
          <c:xVal>
            <c:numRef>
              <c:f>Summary_NewMvector!$A$5:$A$30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Summary_NewMvector!$D$5:$D$30</c:f>
              <c:numCache>
                <c:formatCode>0.000</c:formatCode>
                <c:ptCount val="26"/>
                <c:pt idx="0">
                  <c:v>1.1263212224922736</c:v>
                </c:pt>
                <c:pt idx="1">
                  <c:v>0.83249916275534563</c:v>
                </c:pt>
                <c:pt idx="2">
                  <c:v>0.64671230761837162</c:v>
                </c:pt>
                <c:pt idx="3">
                  <c:v>0.52444722525435861</c:v>
                </c:pt>
                <c:pt idx="4">
                  <c:v>0.4411783812884576</c:v>
                </c:pt>
                <c:pt idx="5">
                  <c:v>0.38279440707292561</c:v>
                </c:pt>
                <c:pt idx="6">
                  <c:v>0.34084624213647152</c:v>
                </c:pt>
                <c:pt idx="7">
                  <c:v>0.31008750675616664</c:v>
                </c:pt>
                <c:pt idx="8">
                  <c:v>0.28715065193153011</c:v>
                </c:pt>
                <c:pt idx="9">
                  <c:v>0.26980812920324837</c:v>
                </c:pt>
                <c:pt idx="10">
                  <c:v>0.25654598018821156</c:v>
                </c:pt>
                <c:pt idx="11">
                  <c:v>0.24630996013586171</c:v>
                </c:pt>
                <c:pt idx="12">
                  <c:v>0.23834995277072429</c:v>
                </c:pt>
                <c:pt idx="13">
                  <c:v>0.23212201874642677</c:v>
                </c:pt>
                <c:pt idx="14">
                  <c:v>0.22722515557835696</c:v>
                </c:pt>
                <c:pt idx="15">
                  <c:v>0.22335949302811231</c:v>
                </c:pt>
                <c:pt idx="16">
                  <c:v>0.22029804008962714</c:v>
                </c:pt>
                <c:pt idx="17">
                  <c:v>0.21786719155332215</c:v>
                </c:pt>
                <c:pt idx="18">
                  <c:v>0.21593301720021263</c:v>
                </c:pt>
                <c:pt idx="19">
                  <c:v>0.21439144577448746</c:v>
                </c:pt>
                <c:pt idx="20">
                  <c:v>0.21316112282026439</c:v>
                </c:pt>
                <c:pt idx="21">
                  <c:v>0.21217813777160022</c:v>
                </c:pt>
                <c:pt idx="22">
                  <c:v>0.21139208029804293</c:v>
                </c:pt>
                <c:pt idx="23">
                  <c:v>0.21076305705402557</c:v>
                </c:pt>
                <c:pt idx="24">
                  <c:v>0.21025941255633451</c:v>
                </c:pt>
                <c:pt idx="25">
                  <c:v>0.20985597319503257</c:v>
                </c:pt>
              </c:numCache>
            </c:numRef>
          </c:yVal>
          <c:smooth val="0"/>
          <c:extLst>
            <c:ext xmlns:c16="http://schemas.microsoft.com/office/drawing/2014/chart" uri="{C3380CC4-5D6E-409C-BE32-E72D297353CC}">
              <c16:uniqueId val="{00000007-83D9-433F-85EB-39DA81CDE73C}"/>
            </c:ext>
          </c:extLst>
        </c:ser>
        <c:ser>
          <c:idx val="6"/>
          <c:order val="6"/>
          <c:spPr>
            <a:ln w="34925" cap="rnd">
              <a:solidFill>
                <a:srgbClr val="66FF66"/>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Summary_NewMvector!$A$5:$A$30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Summary_NewMvector!$P$6:$P$30</c:f>
              <c:numCache>
                <c:formatCode>0.0000</c:formatCode>
                <c:ptCount val="25"/>
                <c:pt idx="0">
                  <c:v>0.4700998304906211</c:v>
                </c:pt>
                <c:pt idx="1">
                  <c:v>0.37121896292338535</c:v>
                </c:pt>
                <c:pt idx="2">
                  <c:v>0.29966484305169694</c:v>
                </c:pt>
                <c:pt idx="3">
                  <c:v>0.24809169776879977</c:v>
                </c:pt>
                <c:pt idx="4">
                  <c:v>0.21077629315481541</c:v>
                </c:pt>
                <c:pt idx="5">
                  <c:v>0.18354284203657478</c:v>
                </c:pt>
                <c:pt idx="6">
                  <c:v>0.16344932447332705</c:v>
                </c:pt>
                <c:pt idx="7">
                  <c:v>0.1484526856051456</c:v>
                </c:pt>
                <c:pt idx="8">
                  <c:v>0.13713607339663569</c:v>
                </c:pt>
                <c:pt idx="9">
                  <c:v>0.12851044813288992</c:v>
                </c:pt>
                <c:pt idx="10">
                  <c:v>0.12187778004986574</c:v>
                </c:pt>
                <c:pt idx="11">
                  <c:v>0.11673890910133462</c:v>
                </c:pt>
                <c:pt idx="12">
                  <c:v>0.11273192232989925</c:v>
                </c:pt>
                <c:pt idx="13">
                  <c:v>0.10959083738485631</c:v>
                </c:pt>
                <c:pt idx="14">
                  <c:v>0.10711767280240458</c:v>
                </c:pt>
                <c:pt idx="15">
                  <c:v>0.10516334827705018</c:v>
                </c:pt>
                <c:pt idx="16">
                  <c:v>0.10361444660669529</c:v>
                </c:pt>
                <c:pt idx="17">
                  <c:v>0.10238390583359844</c:v>
                </c:pt>
                <c:pt idx="18">
                  <c:v>0.10140437883677812</c:v>
                </c:pt>
                <c:pt idx="19">
                  <c:v>0.10062342794959374</c:v>
                </c:pt>
                <c:pt idx="20">
                  <c:v>0.1</c:v>
                </c:pt>
                <c:pt idx="21">
                  <c:v>9.9501807761661537E-2</c:v>
                </c:pt>
                <c:pt idx="22">
                  <c:v>9.9103362255371599E-2</c:v>
                </c:pt>
                <c:pt idx="23">
                  <c:v>9.8784478858202962E-2</c:v>
                </c:pt>
                <c:pt idx="24">
                  <c:v>9.852913283625768E-2</c:v>
                </c:pt>
              </c:numCache>
            </c:numRef>
          </c:yVal>
          <c:smooth val="0"/>
          <c:extLst>
            <c:ext xmlns:c16="http://schemas.microsoft.com/office/drawing/2014/chart" uri="{C3380CC4-5D6E-409C-BE32-E72D297353CC}">
              <c16:uniqueId val="{00000000-25B0-462F-AA8A-0D3365A98D22}"/>
            </c:ext>
          </c:extLst>
        </c:ser>
        <c:dLbls>
          <c:showLegendKey val="0"/>
          <c:showVal val="0"/>
          <c:showCatName val="0"/>
          <c:showSerName val="0"/>
          <c:showPercent val="0"/>
          <c:showBubbleSize val="0"/>
        </c:dLbls>
        <c:axId val="418718976"/>
        <c:axId val="418717296"/>
      </c:scatterChart>
      <c:valAx>
        <c:axId val="418718976"/>
        <c:scaling>
          <c:orientation val="minMax"/>
          <c:max val="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crossAx val="418717296"/>
        <c:crosses val="autoZero"/>
        <c:crossBetween val="midCat"/>
      </c:valAx>
      <c:valAx>
        <c:axId val="418717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crossAx val="418718976"/>
        <c:crosses val="autoZero"/>
        <c:crossBetween val="midCat"/>
      </c:valAx>
      <c:spPr>
        <a:noFill/>
        <a:ln>
          <a:noFill/>
        </a:ln>
        <a:effectLst/>
      </c:spPr>
    </c:plotArea>
    <c:legend>
      <c:legendPos val="b"/>
      <c:layout>
        <c:manualLayout>
          <c:xMode val="edge"/>
          <c:yMode val="edge"/>
          <c:x val="0.24882569999137363"/>
          <c:y val="0.14181277015880003"/>
          <c:w val="0.61077448934094281"/>
          <c:h val="0.2241871503986155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134258259934561"/>
          <c:y val="0.11296356760715821"/>
          <c:w val="0.84602733014538534"/>
          <c:h val="0.7825900759334633"/>
        </c:manualLayout>
      </c:layout>
      <c:scatterChart>
        <c:scatterStyle val="lineMarker"/>
        <c:varyColors val="0"/>
        <c:ser>
          <c:idx val="0"/>
          <c:order val="0"/>
          <c:tx>
            <c:v>LorenzenM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LorMRichardsUpper!$C$12:$C$37</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LorMRichardsUpper!$J$12:$J$37</c:f>
              <c:numCache>
                <c:formatCode>0.00000</c:formatCode>
                <c:ptCount val="26"/>
                <c:pt idx="0">
                  <c:v>1.1263212224922736</c:v>
                </c:pt>
                <c:pt idx="1">
                  <c:v>0.83249916275534563</c:v>
                </c:pt>
                <c:pt idx="2">
                  <c:v>0.64671230761837162</c:v>
                </c:pt>
                <c:pt idx="3">
                  <c:v>0.52444722525435861</c:v>
                </c:pt>
                <c:pt idx="4">
                  <c:v>0.4411783812884576</c:v>
                </c:pt>
                <c:pt idx="5">
                  <c:v>0.38279440707292561</c:v>
                </c:pt>
                <c:pt idx="6">
                  <c:v>0.34084624213647152</c:v>
                </c:pt>
                <c:pt idx="7">
                  <c:v>0.31008750675616664</c:v>
                </c:pt>
                <c:pt idx="8">
                  <c:v>0.28715065193153011</c:v>
                </c:pt>
                <c:pt idx="9">
                  <c:v>0.26980812920324837</c:v>
                </c:pt>
                <c:pt idx="10">
                  <c:v>0.25654598018821156</c:v>
                </c:pt>
                <c:pt idx="11">
                  <c:v>0.24630996013586171</c:v>
                </c:pt>
                <c:pt idx="12">
                  <c:v>0.23834995277072429</c:v>
                </c:pt>
                <c:pt idx="13">
                  <c:v>0.23212201874642677</c:v>
                </c:pt>
                <c:pt idx="14">
                  <c:v>0.22722515557835696</c:v>
                </c:pt>
                <c:pt idx="15">
                  <c:v>0.22335949302811231</c:v>
                </c:pt>
                <c:pt idx="16">
                  <c:v>0.22029804008962714</c:v>
                </c:pt>
                <c:pt idx="17">
                  <c:v>0.21786719155332215</c:v>
                </c:pt>
                <c:pt idx="18">
                  <c:v>0.21593301720021263</c:v>
                </c:pt>
                <c:pt idx="19">
                  <c:v>0.21439144577448746</c:v>
                </c:pt>
                <c:pt idx="20">
                  <c:v>0.21316112282026439</c:v>
                </c:pt>
                <c:pt idx="21">
                  <c:v>0.21217813777160022</c:v>
                </c:pt>
                <c:pt idx="22">
                  <c:v>0.21139208029804293</c:v>
                </c:pt>
                <c:pt idx="23">
                  <c:v>0.21076305705402557</c:v>
                </c:pt>
                <c:pt idx="24">
                  <c:v>0.21025941255633451</c:v>
                </c:pt>
                <c:pt idx="25">
                  <c:v>0.20985597319503257</c:v>
                </c:pt>
              </c:numCache>
            </c:numRef>
          </c:yVal>
          <c:smooth val="0"/>
          <c:extLst>
            <c:ext xmlns:c16="http://schemas.microsoft.com/office/drawing/2014/chart" uri="{C3380CC4-5D6E-409C-BE32-E72D297353CC}">
              <c16:uniqueId val="{00000000-1407-4A14-A140-9A0F36F78E3E}"/>
            </c:ext>
          </c:extLst>
        </c:ser>
        <c:ser>
          <c:idx val="1"/>
          <c:order val="1"/>
          <c:tx>
            <c:strRef>
              <c:f>LorMRichardsUpper!$W$11</c:f>
              <c:strCache>
                <c:ptCount val="1"/>
                <c:pt idx="0">
                  <c:v>WBFT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LorMRichardsUpper!$V$13:$V$37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LorMRichardsUpper!$W$13:$W$37</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1-1407-4A14-A140-9A0F36F78E3E}"/>
            </c:ext>
          </c:extLst>
        </c:ser>
        <c:ser>
          <c:idx val="2"/>
          <c:order val="2"/>
          <c:tx>
            <c:strRef>
              <c:f>LorMRichardsUpper!$X$11</c:f>
              <c:strCache>
                <c:ptCount val="1"/>
                <c:pt idx="0">
                  <c:v>EBFT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LorMRichardsUpper!$V$13:$V$37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LorMRichardsUpper!$X$13:$X$37</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2-1407-4A14-A140-9A0F36F78E3E}"/>
            </c:ext>
          </c:extLst>
        </c:ser>
        <c:dLbls>
          <c:showLegendKey val="0"/>
          <c:showVal val="0"/>
          <c:showCatName val="0"/>
          <c:showSerName val="0"/>
          <c:showPercent val="0"/>
          <c:showBubbleSize val="0"/>
        </c:dLbls>
        <c:axId val="429832832"/>
        <c:axId val="429833392"/>
      </c:scatterChart>
      <c:valAx>
        <c:axId val="42983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9833392"/>
        <c:crosses val="autoZero"/>
        <c:crossBetween val="midCat"/>
      </c:valAx>
      <c:valAx>
        <c:axId val="42983339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9832832"/>
        <c:crosses val="autoZero"/>
        <c:crossBetween val="midCat"/>
      </c:valAx>
      <c:spPr>
        <a:noFill/>
        <a:ln>
          <a:noFill/>
        </a:ln>
        <a:effectLst/>
      </c:spPr>
    </c:plotArea>
    <c:legend>
      <c:legendPos val="r"/>
      <c:layout>
        <c:manualLayout>
          <c:xMode val="edge"/>
          <c:yMode val="edge"/>
          <c:x val="0.49421460720069305"/>
          <c:y val="0.22865476986867722"/>
          <c:w val="0.15448754237230336"/>
          <c:h val="0.17763287128964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LorMRichardsLower!$C$12:$C$47</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LorMRichardsLower!$D$12:$D$47</c:f>
              <c:numCache>
                <c:formatCode>0.0</c:formatCode>
                <c:ptCount val="36"/>
                <c:pt idx="0">
                  <c:v>35.36307336354951</c:v>
                </c:pt>
                <c:pt idx="1">
                  <c:v>50.922390551120031</c:v>
                </c:pt>
                <c:pt idx="2">
                  <c:v>69.05655494855786</c:v>
                </c:pt>
                <c:pt idx="3">
                  <c:v>88.917611017318748</c:v>
                </c:pt>
                <c:pt idx="4">
                  <c:v>109.53793064983296</c:v>
                </c:pt>
                <c:pt idx="5">
                  <c:v>129.99604685270532</c:v>
                </c:pt>
                <c:pt idx="6">
                  <c:v>149.53238717968014</c:v>
                </c:pt>
                <c:pt idx="7">
                  <c:v>167.60322237099862</c:v>
                </c:pt>
                <c:pt idx="8">
                  <c:v>183.88290716193168</c:v>
                </c:pt>
                <c:pt idx="9">
                  <c:v>198.2334947051672</c:v>
                </c:pt>
                <c:pt idx="10">
                  <c:v>210.66011566192304</c:v>
                </c:pt>
                <c:pt idx="11">
                  <c:v>221.26528627493616</c:v>
                </c:pt>
                <c:pt idx="12">
                  <c:v>230.20947061321465</c:v>
                </c:pt>
                <c:pt idx="13">
                  <c:v>237.68068644881029</c:v>
                </c:pt>
                <c:pt idx="14">
                  <c:v>243.87314265619261</c:v>
                </c:pt>
                <c:pt idx="15">
                  <c:v>248.97353047749453</c:v>
                </c:pt>
                <c:pt idx="16">
                  <c:v>253.15316757529988</c:v>
                </c:pt>
                <c:pt idx="17">
                  <c:v>256.56428075813568</c:v>
                </c:pt>
                <c:pt idx="18">
                  <c:v>259.33901586017458</c:v>
                </c:pt>
                <c:pt idx="19">
                  <c:v>261.59011221185176</c:v>
                </c:pt>
                <c:pt idx="20">
                  <c:v>263.41249326469494</c:v>
                </c:pt>
                <c:pt idx="21">
                  <c:v>264.88527549781969</c:v>
                </c:pt>
                <c:pt idx="22">
                  <c:v>266.073882940705</c:v>
                </c:pt>
                <c:pt idx="23">
                  <c:v>267.03208408248298</c:v>
                </c:pt>
                <c:pt idx="24">
                  <c:v>267.80385423457824</c:v>
                </c:pt>
                <c:pt idx="25">
                  <c:v>268.42502139586395</c:v>
                </c:pt>
                <c:pt idx="26">
                  <c:v>268.92468696407281</c:v>
                </c:pt>
                <c:pt idx="27">
                  <c:v>269.3264314868332</c:v>
                </c:pt>
                <c:pt idx="28">
                  <c:v>269.64932522084746</c:v>
                </c:pt>
                <c:pt idx="29">
                  <c:v>269.90876711736149</c:v>
                </c:pt>
                <c:pt idx="30">
                  <c:v>270.11717633436456</c:v>
                </c:pt>
                <c:pt idx="31">
                  <c:v>270.28455901120424</c:v>
                </c:pt>
                <c:pt idx="32">
                  <c:v>270.41897077959641</c:v>
                </c:pt>
                <c:pt idx="33">
                  <c:v>270.5268928986805</c:v>
                </c:pt>
                <c:pt idx="34">
                  <c:v>270.61353731896639</c:v>
                </c:pt>
                <c:pt idx="35">
                  <c:v>270.68309357513044</c:v>
                </c:pt>
              </c:numCache>
            </c:numRef>
          </c:yVal>
          <c:smooth val="0"/>
          <c:extLst>
            <c:ext xmlns:c16="http://schemas.microsoft.com/office/drawing/2014/chart" uri="{C3380CC4-5D6E-409C-BE32-E72D297353CC}">
              <c16:uniqueId val="{00000000-533F-4D87-9CA0-D66F1244A325}"/>
            </c:ext>
          </c:extLst>
        </c:ser>
        <c:dLbls>
          <c:showLegendKey val="0"/>
          <c:showVal val="0"/>
          <c:showCatName val="0"/>
          <c:showSerName val="0"/>
          <c:showPercent val="0"/>
          <c:showBubbleSize val="0"/>
        </c:dLbls>
        <c:axId val="430017712"/>
        <c:axId val="430018272"/>
      </c:scatterChart>
      <c:valAx>
        <c:axId val="430017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018272"/>
        <c:crosses val="autoZero"/>
        <c:crossBetween val="midCat"/>
      </c:valAx>
      <c:valAx>
        <c:axId val="430018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017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134258259934561"/>
          <c:y val="0.11296356760715821"/>
          <c:w val="0.84602733014538534"/>
          <c:h val="0.7825900759334633"/>
        </c:manualLayout>
      </c:layout>
      <c:scatterChart>
        <c:scatterStyle val="lineMarker"/>
        <c:varyColors val="0"/>
        <c:ser>
          <c:idx val="0"/>
          <c:order val="0"/>
          <c:tx>
            <c:v>LorenzenM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LorMRichardsLower!$C$12:$C$37</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LorMRichardsLower!$J$12:$J$37</c:f>
              <c:numCache>
                <c:formatCode>0.00000</c:formatCode>
                <c:ptCount val="26"/>
                <c:pt idx="0">
                  <c:v>0.65702071312049315</c:v>
                </c:pt>
                <c:pt idx="1">
                  <c:v>0.48562451160728498</c:v>
                </c:pt>
                <c:pt idx="2">
                  <c:v>0.3772488461107168</c:v>
                </c:pt>
                <c:pt idx="3">
                  <c:v>0.30592754806504258</c:v>
                </c:pt>
                <c:pt idx="4">
                  <c:v>0.25735405575160025</c:v>
                </c:pt>
                <c:pt idx="5">
                  <c:v>0.22329673745920664</c:v>
                </c:pt>
                <c:pt idx="6">
                  <c:v>0.19882697457960841</c:v>
                </c:pt>
                <c:pt idx="7">
                  <c:v>0.18088437894109724</c:v>
                </c:pt>
                <c:pt idx="8">
                  <c:v>0.16750454696005929</c:v>
                </c:pt>
                <c:pt idx="9">
                  <c:v>0.15738807536856159</c:v>
                </c:pt>
                <c:pt idx="10">
                  <c:v>0.14965182177645678</c:v>
                </c:pt>
                <c:pt idx="11">
                  <c:v>0.14368081007925268</c:v>
                </c:pt>
                <c:pt idx="12">
                  <c:v>0.13903747244958919</c:v>
                </c:pt>
                <c:pt idx="13">
                  <c:v>0.13540451093541561</c:v>
                </c:pt>
                <c:pt idx="14">
                  <c:v>0.13254800742070827</c:v>
                </c:pt>
                <c:pt idx="15">
                  <c:v>0.13029303759973221</c:v>
                </c:pt>
                <c:pt idx="16">
                  <c:v>0.12850719005228253</c:v>
                </c:pt>
                <c:pt idx="17">
                  <c:v>0.12708919507277128</c:v>
                </c:pt>
                <c:pt idx="18">
                  <c:v>0.12596092670012404</c:v>
                </c:pt>
                <c:pt idx="19">
                  <c:v>0.12506167670178439</c:v>
                </c:pt>
                <c:pt idx="20">
                  <c:v>0.1243439883118209</c:v>
                </c:pt>
                <c:pt idx="21">
                  <c:v>0.12377058036676682</c:v>
                </c:pt>
                <c:pt idx="22">
                  <c:v>0.12331204684052507</c:v>
                </c:pt>
                <c:pt idx="23">
                  <c:v>0.12294511661484829</c:v>
                </c:pt>
                <c:pt idx="24">
                  <c:v>0.12265132399119515</c:v>
                </c:pt>
                <c:pt idx="25">
                  <c:v>0.12241598436376901</c:v>
                </c:pt>
              </c:numCache>
            </c:numRef>
          </c:yVal>
          <c:smooth val="0"/>
          <c:extLst>
            <c:ext xmlns:c16="http://schemas.microsoft.com/office/drawing/2014/chart" uri="{C3380CC4-5D6E-409C-BE32-E72D297353CC}">
              <c16:uniqueId val="{00000000-C2F1-4830-A188-20826D08F0F8}"/>
            </c:ext>
          </c:extLst>
        </c:ser>
        <c:ser>
          <c:idx val="1"/>
          <c:order val="1"/>
          <c:tx>
            <c:strRef>
              <c:f>LorMRichardsLower!$W$11</c:f>
              <c:strCache>
                <c:ptCount val="1"/>
                <c:pt idx="0">
                  <c:v>WBFT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LorMRichardsLower!$V$13:$V$37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LorMRichardsLower!$W$13:$W$37</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1-C2F1-4830-A188-20826D08F0F8}"/>
            </c:ext>
          </c:extLst>
        </c:ser>
        <c:ser>
          <c:idx val="2"/>
          <c:order val="2"/>
          <c:tx>
            <c:strRef>
              <c:f>LorMRichardsLower!$X$11</c:f>
              <c:strCache>
                <c:ptCount val="1"/>
                <c:pt idx="0">
                  <c:v>EBFT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LorMRichardsLower!$V$13:$V$37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LorMRichardsLower!$X$13:$X$37</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2-C2F1-4830-A188-20826D08F0F8}"/>
            </c:ext>
          </c:extLst>
        </c:ser>
        <c:dLbls>
          <c:showLegendKey val="0"/>
          <c:showVal val="0"/>
          <c:showCatName val="0"/>
          <c:showSerName val="0"/>
          <c:showPercent val="0"/>
          <c:showBubbleSize val="0"/>
        </c:dLbls>
        <c:axId val="429959584"/>
        <c:axId val="429960144"/>
      </c:scatterChart>
      <c:valAx>
        <c:axId val="42995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9960144"/>
        <c:crosses val="autoZero"/>
        <c:crossBetween val="midCat"/>
      </c:valAx>
      <c:valAx>
        <c:axId val="4299601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9959584"/>
        <c:crosses val="autoZero"/>
        <c:crossBetween val="midCat"/>
      </c:valAx>
      <c:spPr>
        <a:noFill/>
        <a:ln>
          <a:noFill/>
        </a:ln>
        <a:effectLst/>
      </c:spPr>
    </c:plotArea>
    <c:legend>
      <c:legendPos val="r"/>
      <c:layout>
        <c:manualLayout>
          <c:xMode val="edge"/>
          <c:yMode val="edge"/>
          <c:x val="0.49421460720069305"/>
          <c:y val="0.22865476986867722"/>
          <c:w val="0.15448754237230336"/>
          <c:h val="0.17763287128964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LorMVB!$C$12:$C$47</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LorMVB!$D$12:$D$47</c:f>
              <c:numCache>
                <c:formatCode>0.0</c:formatCode>
                <c:ptCount val="36"/>
                <c:pt idx="0">
                  <c:v>19.792624188357422</c:v>
                </c:pt>
                <c:pt idx="1">
                  <c:v>45.536441501098807</c:v>
                </c:pt>
                <c:pt idx="2">
                  <c:v>69.064518971138526</c:v>
                </c:pt>
                <c:pt idx="3">
                  <c:v>90.567562700485198</c:v>
                </c:pt>
                <c:pt idx="4">
                  <c:v>110.21986494298604</c:v>
                </c:pt>
                <c:pt idx="5">
                  <c:v>128.18071682478325</c:v>
                </c:pt>
                <c:pt idx="6">
                  <c:v>144.59569947359515</c:v>
                </c:pt>
                <c:pt idx="7">
                  <c:v>159.59786402203042</c:v>
                </c:pt>
                <c:pt idx="8">
                  <c:v>173.30881004941588</c:v>
                </c:pt>
                <c:pt idx="9">
                  <c:v>185.83967120341418</c:v>
                </c:pt>
                <c:pt idx="10">
                  <c:v>197.29201599035696</c:v>
                </c:pt>
                <c:pt idx="11">
                  <c:v>207.7586710356224</c:v>
                </c:pt>
                <c:pt idx="12">
                  <c:v>217.32447348696684</c:v>
                </c:pt>
                <c:pt idx="13">
                  <c:v>226.06695865939457</c:v>
                </c:pt>
                <c:pt idx="14">
                  <c:v>234.05698849524754</c:v>
                </c:pt>
                <c:pt idx="15">
                  <c:v>241.3593259334811</c:v>
                </c:pt>
                <c:pt idx="16">
                  <c:v>248.03315984365639</c:v>
                </c:pt>
                <c:pt idx="17">
                  <c:v>254.13258477948622</c:v>
                </c:pt>
                <c:pt idx="18">
                  <c:v>259.70703944056208</c:v>
                </c:pt>
                <c:pt idx="19">
                  <c:v>264.80170739619979</c:v>
                </c:pt>
                <c:pt idx="20">
                  <c:v>269.4578833194592</c:v>
                </c:pt>
                <c:pt idx="21">
                  <c:v>273.71330769983496</c:v>
                </c:pt>
                <c:pt idx="22">
                  <c:v>277.60247274762389</c:v>
                </c:pt>
                <c:pt idx="23">
                  <c:v>281.15690196946508</c:v>
                </c:pt>
                <c:pt idx="24">
                  <c:v>284.40540568114506</c:v>
                </c:pt>
                <c:pt idx="25">
                  <c:v>287.37431452871868</c:v>
                </c:pt>
                <c:pt idx="26">
                  <c:v>290.08769291074395</c:v>
                </c:pt>
                <c:pt idx="27">
                  <c:v>292.5675340315176</c:v>
                </c:pt>
                <c:pt idx="28">
                  <c:v>294.83393816631059</c:v>
                </c:pt>
                <c:pt idx="29">
                  <c:v>296.90527558352557</c:v>
                </c:pt>
                <c:pt idx="30">
                  <c:v>298.79833544433751</c:v>
                </c:pt>
                <c:pt idx="31">
                  <c:v>300.52846188671873</c:v>
                </c:pt>
                <c:pt idx="32">
                  <c:v>302.10967839687333</c:v>
                </c:pt>
                <c:pt idx="33">
                  <c:v>303.5548014761693</c:v>
                </c:pt>
                <c:pt idx="34">
                  <c:v>304.87554452489314</c:v>
                </c:pt>
                <c:pt idx="35">
                  <c:v>306.08261278485202</c:v>
                </c:pt>
              </c:numCache>
            </c:numRef>
          </c:yVal>
          <c:smooth val="0"/>
          <c:extLst>
            <c:ext xmlns:c16="http://schemas.microsoft.com/office/drawing/2014/chart" uri="{C3380CC4-5D6E-409C-BE32-E72D297353CC}">
              <c16:uniqueId val="{00000000-848B-40B7-B382-5B9F49C51E2F}"/>
            </c:ext>
          </c:extLst>
        </c:ser>
        <c:dLbls>
          <c:showLegendKey val="0"/>
          <c:showVal val="0"/>
          <c:showCatName val="0"/>
          <c:showSerName val="0"/>
          <c:showPercent val="0"/>
          <c:showBubbleSize val="0"/>
        </c:dLbls>
        <c:axId val="429962944"/>
        <c:axId val="430955552"/>
      </c:scatterChart>
      <c:valAx>
        <c:axId val="42996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955552"/>
        <c:crosses val="autoZero"/>
        <c:crossBetween val="midCat"/>
      </c:valAx>
      <c:valAx>
        <c:axId val="430955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9962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134258259934561"/>
          <c:y val="0.11296356760715821"/>
          <c:w val="0.84602733014538534"/>
          <c:h val="0.7825900759334633"/>
        </c:manualLayout>
      </c:layout>
      <c:scatterChart>
        <c:scatterStyle val="lineMarker"/>
        <c:varyColors val="0"/>
        <c:ser>
          <c:idx val="0"/>
          <c:order val="0"/>
          <c:tx>
            <c:v>LorenzenM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LorMVB!$C$12:$C$37</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LorMVB!$J$12:$J$37</c:f>
              <c:numCache>
                <c:formatCode>0.00000</c:formatCode>
                <c:ptCount val="26"/>
                <c:pt idx="0">
                  <c:v>1.4508916900940751</c:v>
                </c:pt>
                <c:pt idx="1">
                  <c:v>0.72720828970818496</c:v>
                </c:pt>
                <c:pt idx="2">
                  <c:v>0.51486956867906641</c:v>
                </c:pt>
                <c:pt idx="3">
                  <c:v>0.41125385208570298</c:v>
                </c:pt>
                <c:pt idx="4">
                  <c:v>0.3494680013766</c:v>
                </c:pt>
                <c:pt idx="5">
                  <c:v>0.3083587226668944</c:v>
                </c:pt>
                <c:pt idx="6">
                  <c:v>0.27904404943797895</c:v>
                </c:pt>
                <c:pt idx="7">
                  <c:v>0.25711794593131121</c:v>
                </c:pt>
                <c:pt idx="8">
                  <c:v>0.24013736603807104</c:v>
                </c:pt>
                <c:pt idx="9">
                  <c:v>0.22663473985843163</c:v>
                </c:pt>
                <c:pt idx="10">
                  <c:v>0.21567341416065472</c:v>
                </c:pt>
                <c:pt idx="11">
                  <c:v>0.20662648717564575</c:v>
                </c:pt>
                <c:pt idx="12">
                  <c:v>0.19905798108529876</c:v>
                </c:pt>
                <c:pt idx="13">
                  <c:v>0.19265496683871969</c:v>
                </c:pt>
                <c:pt idx="14">
                  <c:v>0.18718680610905944</c:v>
                </c:pt>
                <c:pt idx="15">
                  <c:v>0.18247963640003712</c:v>
                </c:pt>
                <c:pt idx="16">
                  <c:v>0.17839982569234722</c:v>
                </c:pt>
                <c:pt idx="17">
                  <c:v>0.17484291418499617</c:v>
                </c:pt>
                <c:pt idx="18">
                  <c:v>0.17172602692922548</c:v>
                </c:pt>
                <c:pt idx="19">
                  <c:v>0.16898254684264191</c:v>
                </c:pt>
                <c:pt idx="20">
                  <c:v>0.16655829789926313</c:v>
                </c:pt>
                <c:pt idx="21">
                  <c:v>0.16440876039233104</c:v>
                </c:pt>
                <c:pt idx="22">
                  <c:v>0.16249700592585029</c:v>
                </c:pt>
                <c:pt idx="23">
                  <c:v>0.16079214350714013</c:v>
                </c:pt>
                <c:pt idx="24">
                  <c:v>0.1592681345829414</c:v>
                </c:pt>
                <c:pt idx="25">
                  <c:v>0.15790287839155062</c:v>
                </c:pt>
              </c:numCache>
            </c:numRef>
          </c:yVal>
          <c:smooth val="0"/>
          <c:extLst>
            <c:ext xmlns:c16="http://schemas.microsoft.com/office/drawing/2014/chart" uri="{C3380CC4-5D6E-409C-BE32-E72D297353CC}">
              <c16:uniqueId val="{00000000-4428-44DB-AAEF-DA2E9AFBDDFD}"/>
            </c:ext>
          </c:extLst>
        </c:ser>
        <c:ser>
          <c:idx val="1"/>
          <c:order val="1"/>
          <c:tx>
            <c:strRef>
              <c:f>LorMVB!$W$11</c:f>
              <c:strCache>
                <c:ptCount val="1"/>
                <c:pt idx="0">
                  <c:v>WBFT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LorMVB!$V$13:$V$37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LorMVB!$W$13:$W$37</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1-4428-44DB-AAEF-DA2E9AFBDDFD}"/>
            </c:ext>
          </c:extLst>
        </c:ser>
        <c:ser>
          <c:idx val="2"/>
          <c:order val="2"/>
          <c:tx>
            <c:strRef>
              <c:f>LorMVB!$X$11</c:f>
              <c:strCache>
                <c:ptCount val="1"/>
                <c:pt idx="0">
                  <c:v>EBFT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LorMVB!$V$13:$V$37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LorMVB!$X$13:$X$37</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2-4428-44DB-AAEF-DA2E9AFBDDFD}"/>
            </c:ext>
          </c:extLst>
        </c:ser>
        <c:dLbls>
          <c:showLegendKey val="0"/>
          <c:showVal val="0"/>
          <c:showCatName val="0"/>
          <c:showSerName val="0"/>
          <c:showPercent val="0"/>
          <c:showBubbleSize val="0"/>
        </c:dLbls>
        <c:axId val="470554592"/>
        <c:axId val="470555152"/>
      </c:scatterChart>
      <c:valAx>
        <c:axId val="47055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0555152"/>
        <c:crosses val="autoZero"/>
        <c:crossBetween val="midCat"/>
      </c:valAx>
      <c:valAx>
        <c:axId val="47055515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0554592"/>
        <c:crosses val="autoZero"/>
        <c:crossBetween val="midCat"/>
      </c:valAx>
      <c:spPr>
        <a:noFill/>
        <a:ln>
          <a:noFill/>
        </a:ln>
        <a:effectLst/>
      </c:spPr>
    </c:plotArea>
    <c:legend>
      <c:legendPos val="r"/>
      <c:layout>
        <c:manualLayout>
          <c:xMode val="edge"/>
          <c:yMode val="edge"/>
          <c:x val="0.49421460720069305"/>
          <c:y val="0.22865476986867722"/>
          <c:w val="0.15448754237230336"/>
          <c:h val="0.17763287128964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LorMRichardsHoenig!$C$12:$C$47</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LorMRichardsHoenig!$D$12:$D$47</c:f>
              <c:numCache>
                <c:formatCode>0.0</c:formatCode>
                <c:ptCount val="36"/>
                <c:pt idx="0">
                  <c:v>35.36307336354951</c:v>
                </c:pt>
                <c:pt idx="1">
                  <c:v>50.922390551120031</c:v>
                </c:pt>
                <c:pt idx="2">
                  <c:v>69.05655494855786</c:v>
                </c:pt>
                <c:pt idx="3">
                  <c:v>88.917611017318748</c:v>
                </c:pt>
                <c:pt idx="4">
                  <c:v>109.53793064983296</c:v>
                </c:pt>
                <c:pt idx="5">
                  <c:v>129.99604685270532</c:v>
                </c:pt>
                <c:pt idx="6">
                  <c:v>149.53238717968014</c:v>
                </c:pt>
                <c:pt idx="7">
                  <c:v>167.60322237099862</c:v>
                </c:pt>
                <c:pt idx="8">
                  <c:v>183.88290716193168</c:v>
                </c:pt>
                <c:pt idx="9">
                  <c:v>198.2334947051672</c:v>
                </c:pt>
                <c:pt idx="10">
                  <c:v>210.66011566192304</c:v>
                </c:pt>
                <c:pt idx="11">
                  <c:v>221.26528627493616</c:v>
                </c:pt>
                <c:pt idx="12">
                  <c:v>230.20947061321465</c:v>
                </c:pt>
                <c:pt idx="13">
                  <c:v>237.68068644881029</c:v>
                </c:pt>
                <c:pt idx="14">
                  <c:v>243.87314265619261</c:v>
                </c:pt>
                <c:pt idx="15">
                  <c:v>248.97353047749453</c:v>
                </c:pt>
                <c:pt idx="16">
                  <c:v>253.15316757529988</c:v>
                </c:pt>
                <c:pt idx="17">
                  <c:v>256.56428075813568</c:v>
                </c:pt>
                <c:pt idx="18">
                  <c:v>259.33901586017458</c:v>
                </c:pt>
                <c:pt idx="19">
                  <c:v>261.59011221185176</c:v>
                </c:pt>
                <c:pt idx="20">
                  <c:v>263.41249326469494</c:v>
                </c:pt>
                <c:pt idx="21">
                  <c:v>264.88527549781969</c:v>
                </c:pt>
                <c:pt idx="22">
                  <c:v>266.073882940705</c:v>
                </c:pt>
                <c:pt idx="23">
                  <c:v>267.03208408248298</c:v>
                </c:pt>
                <c:pt idx="24">
                  <c:v>267.80385423457824</c:v>
                </c:pt>
                <c:pt idx="25">
                  <c:v>268.42502139586395</c:v>
                </c:pt>
                <c:pt idx="26">
                  <c:v>268.92468696407281</c:v>
                </c:pt>
                <c:pt idx="27">
                  <c:v>269.3264314868332</c:v>
                </c:pt>
                <c:pt idx="28">
                  <c:v>269.64932522084746</c:v>
                </c:pt>
                <c:pt idx="29">
                  <c:v>269.90876711736149</c:v>
                </c:pt>
                <c:pt idx="30">
                  <c:v>270.11717633436456</c:v>
                </c:pt>
                <c:pt idx="31">
                  <c:v>270.28455901120424</c:v>
                </c:pt>
                <c:pt idx="32">
                  <c:v>270.41897077959641</c:v>
                </c:pt>
                <c:pt idx="33">
                  <c:v>270.5268928986805</c:v>
                </c:pt>
                <c:pt idx="34">
                  <c:v>270.61353731896639</c:v>
                </c:pt>
                <c:pt idx="35">
                  <c:v>270.68309357513044</c:v>
                </c:pt>
              </c:numCache>
            </c:numRef>
          </c:yVal>
          <c:smooth val="0"/>
          <c:extLst>
            <c:ext xmlns:c16="http://schemas.microsoft.com/office/drawing/2014/chart" uri="{C3380CC4-5D6E-409C-BE32-E72D297353CC}">
              <c16:uniqueId val="{00000000-8ADB-4841-AD0F-6FDF9D11364E}"/>
            </c:ext>
          </c:extLst>
        </c:ser>
        <c:dLbls>
          <c:showLegendKey val="0"/>
          <c:showVal val="0"/>
          <c:showCatName val="0"/>
          <c:showSerName val="0"/>
          <c:showPercent val="0"/>
          <c:showBubbleSize val="0"/>
        </c:dLbls>
        <c:axId val="470952944"/>
        <c:axId val="470953504"/>
      </c:scatterChart>
      <c:valAx>
        <c:axId val="47095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0953504"/>
        <c:crosses val="autoZero"/>
        <c:crossBetween val="midCat"/>
      </c:valAx>
      <c:valAx>
        <c:axId val="470953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0952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134258259934561"/>
          <c:y val="0.11296356760715821"/>
          <c:w val="0.84602733014538534"/>
          <c:h val="0.7825900759334633"/>
        </c:manualLayout>
      </c:layout>
      <c:scatterChart>
        <c:scatterStyle val="lineMarker"/>
        <c:varyColors val="0"/>
        <c:ser>
          <c:idx val="0"/>
          <c:order val="0"/>
          <c:tx>
            <c:v>LorenzenM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LorMRichardsHoenig!$C$12:$C$37</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LorMRichardsHoenig!$J$12:$J$37</c:f>
              <c:numCache>
                <c:formatCode>0.00000</c:formatCode>
                <c:ptCount val="26"/>
                <c:pt idx="0">
                  <c:v>0.61559033127238394</c:v>
                </c:pt>
                <c:pt idx="1">
                  <c:v>0.45500202353512953</c:v>
                </c:pt>
                <c:pt idx="2">
                  <c:v>0.35346030575877935</c:v>
                </c:pt>
                <c:pt idx="3">
                  <c:v>0.28663638283831394</c:v>
                </c:pt>
                <c:pt idx="4">
                  <c:v>0.24112583556458619</c:v>
                </c:pt>
                <c:pt idx="5">
                  <c:v>0.20921610207948871</c:v>
                </c:pt>
                <c:pt idx="6">
                  <c:v>0.18628935237982433</c:v>
                </c:pt>
                <c:pt idx="7">
                  <c:v>0.16947818011017335</c:v>
                </c:pt>
                <c:pt idx="8">
                  <c:v>0.15694205295756489</c:v>
                </c:pt>
                <c:pt idx="9">
                  <c:v>0.14746350536545019</c:v>
                </c:pt>
                <c:pt idx="10">
                  <c:v>0.14021508409581881</c:v>
                </c:pt>
                <c:pt idx="11">
                  <c:v>0.13462059217903344</c:v>
                </c:pt>
                <c:pt idx="12">
                  <c:v>0.13027005391962568</c:v>
                </c:pt>
                <c:pt idx="13">
                  <c:v>0.12686617952518206</c:v>
                </c:pt>
                <c:pt idx="14">
                  <c:v>0.12418980127745863</c:v>
                </c:pt>
                <c:pt idx="15">
                  <c:v>0.12207702523952982</c:v>
                </c:pt>
                <c:pt idx="16">
                  <c:v>0.12040378958442362</c:v>
                </c:pt>
                <c:pt idx="17">
                  <c:v>0.11907521046697982</c:v>
                </c:pt>
                <c:pt idx="18">
                  <c:v>0.11801808838937694</c:v>
                </c:pt>
                <c:pt idx="19">
                  <c:v>0.11717554325598922</c:v>
                </c:pt>
                <c:pt idx="20">
                  <c:v>0.11650311082744425</c:v>
                </c:pt>
                <c:pt idx="21">
                  <c:v>0.11596586081416296</c:v>
                </c:pt>
                <c:pt idx="22">
                  <c:v>0.11553624147388672</c:v>
                </c:pt>
                <c:pt idx="23">
                  <c:v>0.11519244911747011</c:v>
                </c:pt>
                <c:pt idx="24">
                  <c:v>0.11491718245553939</c:v>
                </c:pt>
                <c:pt idx="25">
                  <c:v>0.11469668286349349</c:v>
                </c:pt>
              </c:numCache>
            </c:numRef>
          </c:yVal>
          <c:smooth val="0"/>
          <c:extLst>
            <c:ext xmlns:c16="http://schemas.microsoft.com/office/drawing/2014/chart" uri="{C3380CC4-5D6E-409C-BE32-E72D297353CC}">
              <c16:uniqueId val="{00000000-7A3C-44F9-B4EC-F8B6C1D6F99A}"/>
            </c:ext>
          </c:extLst>
        </c:ser>
        <c:ser>
          <c:idx val="1"/>
          <c:order val="1"/>
          <c:tx>
            <c:strRef>
              <c:f>LorMRichardsHoenig!$W$11</c:f>
              <c:strCache>
                <c:ptCount val="1"/>
                <c:pt idx="0">
                  <c:v>WBFT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LorMRichardsHoenig!$V$13:$V$37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LorMRichardsHoenig!$W$13:$W$37</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1-7A3C-44F9-B4EC-F8B6C1D6F99A}"/>
            </c:ext>
          </c:extLst>
        </c:ser>
        <c:ser>
          <c:idx val="2"/>
          <c:order val="2"/>
          <c:tx>
            <c:strRef>
              <c:f>LorMRichardsHoenig!$X$11</c:f>
              <c:strCache>
                <c:ptCount val="1"/>
                <c:pt idx="0">
                  <c:v>EBFT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LorMRichardsHoenig!$V$13:$V$37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LorMRichardsHoenig!$X$13:$X$37</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2-7A3C-44F9-B4EC-F8B6C1D6F99A}"/>
            </c:ext>
          </c:extLst>
        </c:ser>
        <c:dLbls>
          <c:showLegendKey val="0"/>
          <c:showVal val="0"/>
          <c:showCatName val="0"/>
          <c:showSerName val="0"/>
          <c:showPercent val="0"/>
          <c:showBubbleSize val="0"/>
        </c:dLbls>
        <c:axId val="471008768"/>
        <c:axId val="471009328"/>
      </c:scatterChart>
      <c:valAx>
        <c:axId val="47100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1009328"/>
        <c:crosses val="autoZero"/>
        <c:crossBetween val="midCat"/>
      </c:valAx>
      <c:valAx>
        <c:axId val="4710093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1008768"/>
        <c:crosses val="autoZero"/>
        <c:crossBetween val="midCat"/>
      </c:valAx>
      <c:spPr>
        <a:noFill/>
        <a:ln>
          <a:noFill/>
        </a:ln>
        <a:effectLst/>
      </c:spPr>
    </c:plotArea>
    <c:legend>
      <c:legendPos val="r"/>
      <c:layout>
        <c:manualLayout>
          <c:xMode val="edge"/>
          <c:yMode val="edge"/>
          <c:x val="0.49421460720069305"/>
          <c:y val="0.22865476986867722"/>
          <c:w val="0.15448754237230336"/>
          <c:h val="0.17763287128964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Comparison of different estimators of M </a:t>
            </a:r>
          </a:p>
        </c:rich>
      </c:tx>
      <c:overlay val="1"/>
    </c:title>
    <c:autoTitleDeleted val="0"/>
    <c:plotArea>
      <c:layout>
        <c:manualLayout>
          <c:layoutTarget val="inner"/>
          <c:xMode val="edge"/>
          <c:yMode val="edge"/>
          <c:x val="9.842654654284555E-2"/>
          <c:y val="0.10964800174496225"/>
          <c:w val="0.89780980175024583"/>
          <c:h val="0.54675403407657863"/>
        </c:manualLayout>
      </c:layout>
      <c:barChart>
        <c:barDir val="col"/>
        <c:grouping val="clustered"/>
        <c:varyColors val="0"/>
        <c:ser>
          <c:idx val="0"/>
          <c:order val="0"/>
          <c:tx>
            <c:strRef>
              <c:f>[1]DifferentEstimators!$D$40</c:f>
              <c:strCache>
                <c:ptCount val="1"/>
              </c:strCache>
            </c:strRef>
          </c:tx>
          <c:invertIfNegative val="0"/>
          <c:cat>
            <c:strRef>
              <c:f>[1]DifferentEstimators!$C$56:$C$749</c:f>
              <c:strCache>
                <c:ptCount val="694"/>
                <c:pt idx="0">
                  <c:v>Estimator</c:v>
                </c:pt>
                <c:pt idx="1">
                  <c:v>Alverson &amp; Carney</c:v>
                </c:pt>
                <c:pt idx="2">
                  <c:v>Beverton &amp;  Holt</c:v>
                </c:pt>
                <c:pt idx="3">
                  <c:v>Hoenig</c:v>
                </c:pt>
                <c:pt idx="4">
                  <c:v>Then</c:v>
                </c:pt>
                <c:pt idx="5">
                  <c:v>Pauly</c:v>
                </c:pt>
                <c:pt idx="6">
                  <c:v>Pauly II (snap&amp;group)</c:v>
                </c:pt>
                <c:pt idx="7">
                  <c:v>Ralston</c:v>
                </c:pt>
                <c:pt idx="8">
                  <c:v>Ralston (geomean)</c:v>
                </c:pt>
                <c:pt idx="9">
                  <c:v>Jensen</c:v>
                </c:pt>
                <c:pt idx="10">
                  <c:v>Rule of thumb</c:v>
                </c:pt>
                <c:pt idx="11">
                  <c:v>Then growth</c:v>
                </c:pt>
                <c:pt idx="12">
                  <c:v>Djabali et al.</c:v>
                </c:pt>
                <c:pt idx="13">
                  <c:v>Roff's</c:v>
                </c:pt>
                <c:pt idx="14">
                  <c:v>Rikhter &amp; Efanov</c:v>
                </c:pt>
                <c:pt idx="15">
                  <c:v>Griffiths and Harrod</c:v>
                </c:pt>
                <c:pt idx="16">
                  <c:v>jensen 2</c:v>
                </c:pt>
                <c:pt idx="17">
                  <c:v>R&amp;E (Gascuel)</c:v>
                </c:pt>
                <c:pt idx="18">
                  <c:v>G&amp;H (Gascuel)</c:v>
                </c:pt>
                <c:pt idx="19">
                  <c:v>jensen2, (Gascuel)</c:v>
                </c:pt>
              </c:strCache>
            </c:strRef>
          </c:cat>
          <c:val>
            <c:numRef>
              <c:f>[1]DifferentEstimators!$G$56:$G$74</c:f>
              <c:numCache>
                <c:formatCode>General</c:formatCode>
                <c:ptCount val="19"/>
                <c:pt idx="0">
                  <c:v>0</c:v>
                </c:pt>
                <c:pt idx="1">
                  <c:v>0.3003670659734306</c:v>
                </c:pt>
                <c:pt idx="2">
                  <c:v>1.0406948640483382</c:v>
                </c:pt>
                <c:pt idx="3">
                  <c:v>0.40062351505382005</c:v>
                </c:pt>
                <c:pt idx="4">
                  <c:v>0.54474310238132972</c:v>
                </c:pt>
                <c:pt idx="5">
                  <c:v>0.55487215306997728</c:v>
                </c:pt>
                <c:pt idx="6">
                  <c:v>0.48664637617879986</c:v>
                </c:pt>
                <c:pt idx="7">
                  <c:v>0.78110000000000002</c:v>
                </c:pt>
                <c:pt idx="8">
                  <c:v>0.86580000000000001</c:v>
                </c:pt>
                <c:pt idx="9">
                  <c:v>0.55499999999999994</c:v>
                </c:pt>
                <c:pt idx="10">
                  <c:v>0.27236363636363636</c:v>
                </c:pt>
                <c:pt idx="11">
                  <c:v>0.16431829823891975</c:v>
                </c:pt>
                <c:pt idx="12">
                  <c:v>0.26486064193964709</c:v>
                </c:pt>
                <c:pt idx="13">
                  <c:v>1.0406948640483382</c:v>
                </c:pt>
                <c:pt idx="14">
                  <c:v>0.78127224218037039</c:v>
                </c:pt>
                <c:pt idx="15">
                  <c:v>0.65309598889275311</c:v>
                </c:pt>
                <c:pt idx="16">
                  <c:v>0.84102220729710075</c:v>
                </c:pt>
                <c:pt idx="17">
                  <c:v>0.63134369300538262</c:v>
                </c:pt>
                <c:pt idx="18">
                  <c:v>0.67124359020895652</c:v>
                </c:pt>
              </c:numCache>
            </c:numRef>
          </c:val>
          <c:extLst>
            <c:ext xmlns:c16="http://schemas.microsoft.com/office/drawing/2014/chart" uri="{C3380CC4-5D6E-409C-BE32-E72D297353CC}">
              <c16:uniqueId val="{00000000-CF9A-4072-8EDD-2CD457CE7456}"/>
            </c:ext>
          </c:extLst>
        </c:ser>
        <c:dLbls>
          <c:showLegendKey val="0"/>
          <c:showVal val="0"/>
          <c:showCatName val="0"/>
          <c:showSerName val="0"/>
          <c:showPercent val="0"/>
          <c:showBubbleSize val="0"/>
        </c:dLbls>
        <c:gapWidth val="150"/>
        <c:axId val="471217968"/>
        <c:axId val="471143712"/>
      </c:barChart>
      <c:lineChart>
        <c:grouping val="standard"/>
        <c:varyColors val="0"/>
        <c:ser>
          <c:idx val="1"/>
          <c:order val="1"/>
          <c:marker>
            <c:symbol val="none"/>
          </c:marker>
          <c:cat>
            <c:strRef>
              <c:f>[1]DifferentEstimators!$C$41:$C$51</c:f>
              <c:strCache>
                <c:ptCount val="11"/>
                <c:pt idx="1">
                  <c:v>Alverson &amp; Carney</c:v>
                </c:pt>
                <c:pt idx="2">
                  <c:v>Beverton &amp;  Holt</c:v>
                </c:pt>
                <c:pt idx="3">
                  <c:v>Hoenig</c:v>
                </c:pt>
                <c:pt idx="4">
                  <c:v>Then</c:v>
                </c:pt>
                <c:pt idx="5">
                  <c:v>Then_growth</c:v>
                </c:pt>
                <c:pt idx="6">
                  <c:v>Pauly</c:v>
                </c:pt>
                <c:pt idx="7">
                  <c:v>Pauly II (snap&amp;group)</c:v>
                </c:pt>
                <c:pt idx="8">
                  <c:v>Ralston</c:v>
                </c:pt>
                <c:pt idx="9">
                  <c:v>Ralston (geomean)</c:v>
                </c:pt>
                <c:pt idx="10">
                  <c:v>Jensen</c:v>
                </c:pt>
              </c:strCache>
            </c:strRef>
          </c:cat>
          <c:val>
            <c:numRef>
              <c:f>[1]DifferentEstimators!$H$56:$H$74</c:f>
              <c:numCache>
                <c:formatCode>General</c:formatCode>
                <c:ptCount val="19"/>
                <c:pt idx="1">
                  <c:v>0.63134369300538262</c:v>
                </c:pt>
                <c:pt idx="2">
                  <c:v>0.63134369300538262</c:v>
                </c:pt>
                <c:pt idx="3">
                  <c:v>0.63134369300538262</c:v>
                </c:pt>
                <c:pt idx="4">
                  <c:v>0.63134369300538262</c:v>
                </c:pt>
                <c:pt idx="5">
                  <c:v>0.63134369300538262</c:v>
                </c:pt>
                <c:pt idx="6">
                  <c:v>0.63134369300538262</c:v>
                </c:pt>
                <c:pt idx="7">
                  <c:v>0.63134369300538262</c:v>
                </c:pt>
                <c:pt idx="8">
                  <c:v>0.63134369300538262</c:v>
                </c:pt>
                <c:pt idx="9">
                  <c:v>0.63134369300538262</c:v>
                </c:pt>
                <c:pt idx="10">
                  <c:v>0.63134369300538262</c:v>
                </c:pt>
                <c:pt idx="11">
                  <c:v>0.63134369300538262</c:v>
                </c:pt>
                <c:pt idx="12">
                  <c:v>0.63134369300538262</c:v>
                </c:pt>
                <c:pt idx="13">
                  <c:v>0.63134369300538262</c:v>
                </c:pt>
                <c:pt idx="14">
                  <c:v>0.63134369300538262</c:v>
                </c:pt>
                <c:pt idx="15">
                  <c:v>0.63134369300538262</c:v>
                </c:pt>
                <c:pt idx="16">
                  <c:v>0.63134369300538262</c:v>
                </c:pt>
                <c:pt idx="17">
                  <c:v>0.63134369300538262</c:v>
                </c:pt>
                <c:pt idx="18">
                  <c:v>0.63134369300538262</c:v>
                </c:pt>
              </c:numCache>
            </c:numRef>
          </c:val>
          <c:smooth val="0"/>
          <c:extLst>
            <c:ext xmlns:c16="http://schemas.microsoft.com/office/drawing/2014/chart" uri="{C3380CC4-5D6E-409C-BE32-E72D297353CC}">
              <c16:uniqueId val="{00000001-CF9A-4072-8EDD-2CD457CE7456}"/>
            </c:ext>
          </c:extLst>
        </c:ser>
        <c:dLbls>
          <c:showLegendKey val="0"/>
          <c:showVal val="0"/>
          <c:showCatName val="0"/>
          <c:showSerName val="0"/>
          <c:showPercent val="0"/>
          <c:showBubbleSize val="0"/>
        </c:dLbls>
        <c:marker val="1"/>
        <c:smooth val="0"/>
        <c:axId val="471217968"/>
        <c:axId val="471143712"/>
      </c:lineChart>
      <c:catAx>
        <c:axId val="471217968"/>
        <c:scaling>
          <c:orientation val="minMax"/>
        </c:scaling>
        <c:delete val="0"/>
        <c:axPos val="b"/>
        <c:numFmt formatCode="General" sourceLinked="0"/>
        <c:majorTickMark val="out"/>
        <c:minorTickMark val="none"/>
        <c:tickLblPos val="nextTo"/>
        <c:txPr>
          <a:bodyPr/>
          <a:lstStyle/>
          <a:p>
            <a:pPr>
              <a:defRPr sz="1200"/>
            </a:pPr>
            <a:endParaRPr lang="ja-JP"/>
          </a:p>
        </c:txPr>
        <c:crossAx val="471143712"/>
        <c:crosses val="autoZero"/>
        <c:auto val="1"/>
        <c:lblAlgn val="ctr"/>
        <c:lblOffset val="100"/>
        <c:noMultiLvlLbl val="0"/>
      </c:catAx>
      <c:valAx>
        <c:axId val="471143712"/>
        <c:scaling>
          <c:orientation val="minMax"/>
        </c:scaling>
        <c:delete val="0"/>
        <c:axPos val="l"/>
        <c:majorGridlines/>
        <c:numFmt formatCode="0.00" sourceLinked="0"/>
        <c:majorTickMark val="out"/>
        <c:minorTickMark val="none"/>
        <c:tickLblPos val="nextTo"/>
        <c:crossAx val="47121796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'empirical estimators'!$G$40</c:f>
              <c:strCache>
                <c:ptCount val="1"/>
                <c:pt idx="0">
                  <c:v>EBFT_VB</c:v>
                </c:pt>
              </c:strCache>
            </c:strRef>
          </c:tx>
          <c:spPr>
            <a:solidFill>
              <a:schemeClr val="accent1"/>
            </a:solidFill>
            <a:ln>
              <a:noFill/>
            </a:ln>
            <a:effectLst/>
          </c:spPr>
          <c:invertIfNegative val="0"/>
          <c:cat>
            <c:strRef>
              <c:f>'empirical estimators'!$C$41:$C$56</c:f>
              <c:strCache>
                <c:ptCount val="16"/>
                <c:pt idx="0">
                  <c:v>Alverson &amp; Carney</c:v>
                </c:pt>
                <c:pt idx="1">
                  <c:v>Beverton &amp;  Holt</c:v>
                </c:pt>
                <c:pt idx="2">
                  <c:v>Hoenig</c:v>
                </c:pt>
                <c:pt idx="3">
                  <c:v>Then</c:v>
                </c:pt>
                <c:pt idx="4">
                  <c:v>Pauly</c:v>
                </c:pt>
                <c:pt idx="5">
                  <c:v>Pauly II (snap&amp;group)</c:v>
                </c:pt>
                <c:pt idx="6">
                  <c:v>Ralston</c:v>
                </c:pt>
                <c:pt idx="7">
                  <c:v>Ralston (geomean)</c:v>
                </c:pt>
                <c:pt idx="8">
                  <c:v>Jensen</c:v>
                </c:pt>
                <c:pt idx="9">
                  <c:v>Rule of thumb</c:v>
                </c:pt>
                <c:pt idx="10">
                  <c:v>Then growth</c:v>
                </c:pt>
                <c:pt idx="11">
                  <c:v>Djabali et al.</c:v>
                </c:pt>
                <c:pt idx="12">
                  <c:v>Roff's</c:v>
                </c:pt>
                <c:pt idx="13">
                  <c:v>Rikhter &amp; Efanov</c:v>
                </c:pt>
                <c:pt idx="14">
                  <c:v>Griffiths and Harrod</c:v>
                </c:pt>
                <c:pt idx="15">
                  <c:v>jensen 2</c:v>
                </c:pt>
              </c:strCache>
            </c:strRef>
          </c:cat>
          <c:val>
            <c:numRef>
              <c:f>'empirical estimators'!$G$41:$G$56</c:f>
              <c:numCache>
                <c:formatCode>0.0000</c:formatCode>
                <c:ptCount val="16"/>
                <c:pt idx="0">
                  <c:v>0.11687443996455252</c:v>
                </c:pt>
                <c:pt idx="1">
                  <c:v>0.54075435226000901</c:v>
                </c:pt>
                <c:pt idx="2">
                  <c:v>0.11873020530810875</c:v>
                </c:pt>
                <c:pt idx="3">
                  <c:v>0.18868662257633637</c:v>
                </c:pt>
                <c:pt idx="4">
                  <c:v>0.29602832361807596</c:v>
                </c:pt>
                <c:pt idx="5">
                  <c:v>0.25962937613279996</c:v>
                </c:pt>
                <c:pt idx="6">
                  <c:v>0.20430000000000001</c:v>
                </c:pt>
                <c:pt idx="7">
                  <c:v>0.16020000000000001</c:v>
                </c:pt>
                <c:pt idx="8">
                  <c:v>0.13500000000000001</c:v>
                </c:pt>
                <c:pt idx="9">
                  <c:v>8.5599999999999996E-2</c:v>
                </c:pt>
                <c:pt idx="10">
                  <c:v>0.10594424803870556</c:v>
                </c:pt>
                <c:pt idx="11">
                  <c:v>0.15917318978514547</c:v>
                </c:pt>
                <c:pt idx="12">
                  <c:v>0.4475249999999999</c:v>
                </c:pt>
                <c:pt idx="13">
                  <c:v>0.36001064305704311</c:v>
                </c:pt>
                <c:pt idx="14">
                  <c:v>0.5693348224036443</c:v>
                </c:pt>
                <c:pt idx="15">
                  <c:v>4.7142857142857139E-2</c:v>
                </c:pt>
              </c:numCache>
            </c:numRef>
          </c:val>
          <c:extLst>
            <c:ext xmlns:c16="http://schemas.microsoft.com/office/drawing/2014/chart" uri="{C3380CC4-5D6E-409C-BE32-E72D297353CC}">
              <c16:uniqueId val="{00000000-C7DE-4C2C-BF27-7CC897570791}"/>
            </c:ext>
          </c:extLst>
        </c:ser>
        <c:ser>
          <c:idx val="1"/>
          <c:order val="1"/>
          <c:tx>
            <c:strRef>
              <c:f>'empirical estimators'!$H$40</c:f>
              <c:strCache>
                <c:ptCount val="1"/>
                <c:pt idx="0">
                  <c:v>WBFT_VB</c:v>
                </c:pt>
              </c:strCache>
            </c:strRef>
          </c:tx>
          <c:spPr>
            <a:solidFill>
              <a:schemeClr val="accent2"/>
            </a:solidFill>
            <a:ln>
              <a:noFill/>
            </a:ln>
            <a:effectLst/>
          </c:spPr>
          <c:invertIfNegative val="0"/>
          <c:cat>
            <c:strRef>
              <c:f>'empirical estimators'!$C$41:$C$56</c:f>
              <c:strCache>
                <c:ptCount val="16"/>
                <c:pt idx="0">
                  <c:v>Alverson &amp; Carney</c:v>
                </c:pt>
                <c:pt idx="1">
                  <c:v>Beverton &amp;  Holt</c:v>
                </c:pt>
                <c:pt idx="2">
                  <c:v>Hoenig</c:v>
                </c:pt>
                <c:pt idx="3">
                  <c:v>Then</c:v>
                </c:pt>
                <c:pt idx="4">
                  <c:v>Pauly</c:v>
                </c:pt>
                <c:pt idx="5">
                  <c:v>Pauly II (snap&amp;group)</c:v>
                </c:pt>
                <c:pt idx="6">
                  <c:v>Ralston</c:v>
                </c:pt>
                <c:pt idx="7">
                  <c:v>Ralston (geomean)</c:v>
                </c:pt>
                <c:pt idx="8">
                  <c:v>Jensen</c:v>
                </c:pt>
                <c:pt idx="9">
                  <c:v>Rule of thumb</c:v>
                </c:pt>
                <c:pt idx="10">
                  <c:v>Then growth</c:v>
                </c:pt>
                <c:pt idx="11">
                  <c:v>Djabali et al.</c:v>
                </c:pt>
                <c:pt idx="12">
                  <c:v>Roff's</c:v>
                </c:pt>
                <c:pt idx="13">
                  <c:v>Rikhter &amp; Efanov</c:v>
                </c:pt>
                <c:pt idx="14">
                  <c:v>Griffiths and Harrod</c:v>
                </c:pt>
                <c:pt idx="15">
                  <c:v>jensen 2</c:v>
                </c:pt>
              </c:strCache>
            </c:strRef>
          </c:cat>
          <c:val>
            <c:numRef>
              <c:f>'empirical estimators'!$H$41:$H$56</c:f>
              <c:numCache>
                <c:formatCode>0.0000</c:formatCode>
                <c:ptCount val="16"/>
                <c:pt idx="0">
                  <c:v>0.11687443996455252</c:v>
                </c:pt>
                <c:pt idx="1">
                  <c:v>0.21636210592664423</c:v>
                </c:pt>
                <c:pt idx="2">
                  <c:v>0.11873020530810875</c:v>
                </c:pt>
                <c:pt idx="3">
                  <c:v>0.18868662257633637</c:v>
                </c:pt>
                <c:pt idx="4">
                  <c:v>0.29602832361807596</c:v>
                </c:pt>
                <c:pt idx="5">
                  <c:v>0.25962937613279996</c:v>
                </c:pt>
                <c:pt idx="6">
                  <c:v>0.20430000000000001</c:v>
                </c:pt>
                <c:pt idx="7">
                  <c:v>0.16020000000000001</c:v>
                </c:pt>
                <c:pt idx="8">
                  <c:v>0.13500000000000001</c:v>
                </c:pt>
                <c:pt idx="9">
                  <c:v>8.5599999999999996E-2</c:v>
                </c:pt>
                <c:pt idx="10">
                  <c:v>0.10594424803870556</c:v>
                </c:pt>
                <c:pt idx="11">
                  <c:v>0.15917318978514547</c:v>
                </c:pt>
                <c:pt idx="12">
                  <c:v>0.19542162162162158</c:v>
                </c:pt>
                <c:pt idx="13">
                  <c:v>0.15766164410443265</c:v>
                </c:pt>
                <c:pt idx="14">
                  <c:v>0.5693348224036443</c:v>
                </c:pt>
                <c:pt idx="15">
                  <c:v>4.7142857142857139E-2</c:v>
                </c:pt>
              </c:numCache>
            </c:numRef>
          </c:val>
          <c:extLst>
            <c:ext xmlns:c16="http://schemas.microsoft.com/office/drawing/2014/chart" uri="{C3380CC4-5D6E-409C-BE32-E72D297353CC}">
              <c16:uniqueId val="{00000001-C7DE-4C2C-BF27-7CC897570791}"/>
            </c:ext>
          </c:extLst>
        </c:ser>
        <c:ser>
          <c:idx val="2"/>
          <c:order val="2"/>
          <c:tx>
            <c:strRef>
              <c:f>'empirical estimators'!$I$40</c:f>
              <c:strCache>
                <c:ptCount val="1"/>
                <c:pt idx="0">
                  <c:v>EBFT_Richards</c:v>
                </c:pt>
              </c:strCache>
            </c:strRef>
          </c:tx>
          <c:spPr>
            <a:solidFill>
              <a:schemeClr val="accent3"/>
            </a:solidFill>
            <a:ln>
              <a:noFill/>
            </a:ln>
            <a:effectLst/>
          </c:spPr>
          <c:invertIfNegative val="0"/>
          <c:cat>
            <c:strRef>
              <c:f>'empirical estimators'!$C$41:$C$56</c:f>
              <c:strCache>
                <c:ptCount val="16"/>
                <c:pt idx="0">
                  <c:v>Alverson &amp; Carney</c:v>
                </c:pt>
                <c:pt idx="1">
                  <c:v>Beverton &amp;  Holt</c:v>
                </c:pt>
                <c:pt idx="2">
                  <c:v>Hoenig</c:v>
                </c:pt>
                <c:pt idx="3">
                  <c:v>Then</c:v>
                </c:pt>
                <c:pt idx="4">
                  <c:v>Pauly</c:v>
                </c:pt>
                <c:pt idx="5">
                  <c:v>Pauly II (snap&amp;group)</c:v>
                </c:pt>
                <c:pt idx="6">
                  <c:v>Ralston</c:v>
                </c:pt>
                <c:pt idx="7">
                  <c:v>Ralston (geomean)</c:v>
                </c:pt>
                <c:pt idx="8">
                  <c:v>Jensen</c:v>
                </c:pt>
                <c:pt idx="9">
                  <c:v>Rule of thumb</c:v>
                </c:pt>
                <c:pt idx="10">
                  <c:v>Then growth</c:v>
                </c:pt>
                <c:pt idx="11">
                  <c:v>Djabali et al.</c:v>
                </c:pt>
                <c:pt idx="12">
                  <c:v>Roff's</c:v>
                </c:pt>
                <c:pt idx="13">
                  <c:v>Rikhter &amp; Efanov</c:v>
                </c:pt>
                <c:pt idx="14">
                  <c:v>Griffiths and Harrod</c:v>
                </c:pt>
                <c:pt idx="15">
                  <c:v>jensen 2</c:v>
                </c:pt>
              </c:strCache>
            </c:strRef>
          </c:cat>
          <c:val>
            <c:numRef>
              <c:f>'empirical estimators'!$I$41:$I$56</c:f>
              <c:numCache>
                <c:formatCode>0.000</c:formatCode>
                <c:ptCount val="16"/>
                <c:pt idx="0">
                  <c:v>3.7387689089554837E-2</c:v>
                </c:pt>
                <c:pt idx="1">
                  <c:v>0.39024748536683174</c:v>
                </c:pt>
                <c:pt idx="2">
                  <c:v>0.11873020530810875</c:v>
                </c:pt>
                <c:pt idx="3">
                  <c:v>0.18868662257633637</c:v>
                </c:pt>
                <c:pt idx="4">
                  <c:v>0.55618555933687419</c:v>
                </c:pt>
                <c:pt idx="5">
                  <c:v>0.48779828909549511</c:v>
                </c:pt>
                <c:pt idx="6">
                  <c:v>0.47209999999999996</c:v>
                </c:pt>
                <c:pt idx="7">
                  <c:v>0.48780000000000001</c:v>
                </c:pt>
                <c:pt idx="8">
                  <c:v>0.33</c:v>
                </c:pt>
                <c:pt idx="9">
                  <c:v>8.5599999999999996E-2</c:v>
                </c:pt>
                <c:pt idx="10">
                  <c:v>0.21477648368172908</c:v>
                </c:pt>
                <c:pt idx="11">
                  <c:v>0.25579423670477142</c:v>
                </c:pt>
                <c:pt idx="12">
                  <c:v>0.86646153846153862</c:v>
                </c:pt>
                <c:pt idx="13">
                  <c:v>0.36001064305704311</c:v>
                </c:pt>
                <c:pt idx="14">
                  <c:v>0.59576852378140099</c:v>
                </c:pt>
                <c:pt idx="15">
                  <c:v>4.7142857142857139E-2</c:v>
                </c:pt>
              </c:numCache>
            </c:numRef>
          </c:val>
          <c:extLst>
            <c:ext xmlns:c16="http://schemas.microsoft.com/office/drawing/2014/chart" uri="{C3380CC4-5D6E-409C-BE32-E72D297353CC}">
              <c16:uniqueId val="{00000002-C7DE-4C2C-BF27-7CC897570791}"/>
            </c:ext>
          </c:extLst>
        </c:ser>
        <c:ser>
          <c:idx val="3"/>
          <c:order val="3"/>
          <c:tx>
            <c:strRef>
              <c:f>'empirical estimators'!$J$40</c:f>
              <c:strCache>
                <c:ptCount val="1"/>
                <c:pt idx="0">
                  <c:v>WBFT_Richards</c:v>
                </c:pt>
              </c:strCache>
            </c:strRef>
          </c:tx>
          <c:spPr>
            <a:solidFill>
              <a:schemeClr val="accent4"/>
            </a:solidFill>
            <a:ln>
              <a:noFill/>
            </a:ln>
            <a:effectLst/>
          </c:spPr>
          <c:invertIfNegative val="0"/>
          <c:cat>
            <c:strRef>
              <c:f>'empirical estimators'!$C$41:$C$56</c:f>
              <c:strCache>
                <c:ptCount val="16"/>
                <c:pt idx="0">
                  <c:v>Alverson &amp; Carney</c:v>
                </c:pt>
                <c:pt idx="1">
                  <c:v>Beverton &amp;  Holt</c:v>
                </c:pt>
                <c:pt idx="2">
                  <c:v>Hoenig</c:v>
                </c:pt>
                <c:pt idx="3">
                  <c:v>Then</c:v>
                </c:pt>
                <c:pt idx="4">
                  <c:v>Pauly</c:v>
                </c:pt>
                <c:pt idx="5">
                  <c:v>Pauly II (snap&amp;group)</c:v>
                </c:pt>
                <c:pt idx="6">
                  <c:v>Ralston</c:v>
                </c:pt>
                <c:pt idx="7">
                  <c:v>Ralston (geomean)</c:v>
                </c:pt>
                <c:pt idx="8">
                  <c:v>Jensen</c:v>
                </c:pt>
                <c:pt idx="9">
                  <c:v>Rule of thumb</c:v>
                </c:pt>
                <c:pt idx="10">
                  <c:v>Then growth</c:v>
                </c:pt>
                <c:pt idx="11">
                  <c:v>Djabali et al.</c:v>
                </c:pt>
                <c:pt idx="12">
                  <c:v>Roff's</c:v>
                </c:pt>
                <c:pt idx="13">
                  <c:v>Rikhter &amp; Efanov</c:v>
                </c:pt>
                <c:pt idx="14">
                  <c:v>Griffiths and Harrod</c:v>
                </c:pt>
                <c:pt idx="15">
                  <c:v>jensen 2</c:v>
                </c:pt>
              </c:strCache>
            </c:strRef>
          </c:cat>
          <c:val>
            <c:numRef>
              <c:f>'empirical estimators'!$J$41:$J$56</c:f>
              <c:numCache>
                <c:formatCode>0.000</c:formatCode>
                <c:ptCount val="16"/>
                <c:pt idx="0">
                  <c:v>3.7387689089554837E-2</c:v>
                </c:pt>
                <c:pt idx="1">
                  <c:v>0.10572275705868699</c:v>
                </c:pt>
                <c:pt idx="2">
                  <c:v>0.11873020530810875</c:v>
                </c:pt>
                <c:pt idx="3">
                  <c:v>0.18868662257633637</c:v>
                </c:pt>
                <c:pt idx="4">
                  <c:v>0.55618555933687419</c:v>
                </c:pt>
                <c:pt idx="5">
                  <c:v>0.48779828909549511</c:v>
                </c:pt>
                <c:pt idx="6">
                  <c:v>0.47209999999999996</c:v>
                </c:pt>
                <c:pt idx="7">
                  <c:v>0.48780000000000001</c:v>
                </c:pt>
                <c:pt idx="8">
                  <c:v>0.33</c:v>
                </c:pt>
                <c:pt idx="9">
                  <c:v>8.5599999999999996E-2</c:v>
                </c:pt>
                <c:pt idx="10">
                  <c:v>0.21477648368172908</c:v>
                </c:pt>
                <c:pt idx="11">
                  <c:v>0.25579423670477142</c:v>
                </c:pt>
                <c:pt idx="12">
                  <c:v>0.25120408163265318</c:v>
                </c:pt>
                <c:pt idx="13">
                  <c:v>0.15766164410443265</c:v>
                </c:pt>
                <c:pt idx="14">
                  <c:v>0.59576852378140099</c:v>
                </c:pt>
                <c:pt idx="15">
                  <c:v>4.7142857142857139E-2</c:v>
                </c:pt>
              </c:numCache>
            </c:numRef>
          </c:val>
          <c:extLst>
            <c:ext xmlns:c16="http://schemas.microsoft.com/office/drawing/2014/chart" uri="{C3380CC4-5D6E-409C-BE32-E72D297353CC}">
              <c16:uniqueId val="{00000003-C7DE-4C2C-BF27-7CC897570791}"/>
            </c:ext>
          </c:extLst>
        </c:ser>
        <c:dLbls>
          <c:showLegendKey val="0"/>
          <c:showVal val="0"/>
          <c:showCatName val="0"/>
          <c:showSerName val="0"/>
          <c:showPercent val="0"/>
          <c:showBubbleSize val="0"/>
        </c:dLbls>
        <c:gapWidth val="219"/>
        <c:overlap val="-27"/>
        <c:axId val="471558784"/>
        <c:axId val="471559344"/>
      </c:barChart>
      <c:catAx>
        <c:axId val="4715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1559344"/>
        <c:crosses val="autoZero"/>
        <c:auto val="1"/>
        <c:lblAlgn val="ctr"/>
        <c:lblOffset val="100"/>
        <c:noMultiLvlLbl val="0"/>
      </c:catAx>
      <c:valAx>
        <c:axId val="471559344"/>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155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'VPA Fatage'!$T$3:$AI$3</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'VPA Fatage'!$T$50:$AI$50</c:f>
              <c:numCache>
                <c:formatCode>General</c:formatCode>
                <c:ptCount val="16"/>
                <c:pt idx="0">
                  <c:v>0.25354911981828476</c:v>
                </c:pt>
                <c:pt idx="1">
                  <c:v>0.90161839863713744</c:v>
                </c:pt>
                <c:pt idx="2">
                  <c:v>1</c:v>
                </c:pt>
                <c:pt idx="3">
                  <c:v>0.6839863713798976</c:v>
                </c:pt>
                <c:pt idx="4">
                  <c:v>0.46933560477001707</c:v>
                </c:pt>
                <c:pt idx="5">
                  <c:v>0.38586030664395221</c:v>
                </c:pt>
                <c:pt idx="6">
                  <c:v>0.29940374787052804</c:v>
                </c:pt>
                <c:pt idx="7">
                  <c:v>0.38586030664395221</c:v>
                </c:pt>
                <c:pt idx="8">
                  <c:v>0.42362294151050539</c:v>
                </c:pt>
                <c:pt idx="9">
                  <c:v>0.4480408858603066</c:v>
                </c:pt>
                <c:pt idx="10">
                  <c:v>0.45641680863145956</c:v>
                </c:pt>
                <c:pt idx="11">
                  <c:v>0.50298126064735926</c:v>
                </c:pt>
                <c:pt idx="12">
                  <c:v>0.60193072118114699</c:v>
                </c:pt>
                <c:pt idx="13">
                  <c:v>0.70457126632595124</c:v>
                </c:pt>
                <c:pt idx="14">
                  <c:v>0.8340431572969903</c:v>
                </c:pt>
                <c:pt idx="15">
                  <c:v>0.8340431572969903</c:v>
                </c:pt>
              </c:numCache>
            </c:numRef>
          </c:yVal>
          <c:smooth val="0"/>
          <c:extLst>
            <c:ext xmlns:c16="http://schemas.microsoft.com/office/drawing/2014/chart" uri="{C3380CC4-5D6E-409C-BE32-E72D297353CC}">
              <c16:uniqueId val="{00000000-34D2-4E15-9FA8-4750C674D68D}"/>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'VPA Fatage'!$T$3:$AI$3</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'VPA Fatage'!$T$51:$AI$51</c:f>
              <c:numCache>
                <c:formatCode>General</c:formatCode>
                <c:ptCount val="16"/>
                <c:pt idx="0">
                  <c:v>8.0118694362017823E-2</c:v>
                </c:pt>
                <c:pt idx="1">
                  <c:v>0.34718100890207704</c:v>
                </c:pt>
                <c:pt idx="2">
                  <c:v>0.5430267062314541</c:v>
                </c:pt>
                <c:pt idx="3">
                  <c:v>0.43946587537091986</c:v>
                </c:pt>
                <c:pt idx="4">
                  <c:v>0.41958456973293767</c:v>
                </c:pt>
                <c:pt idx="5">
                  <c:v>0.42670623145400594</c:v>
                </c:pt>
                <c:pt idx="6">
                  <c:v>0.36142433234421373</c:v>
                </c:pt>
                <c:pt idx="7">
                  <c:v>0.54836795252225523</c:v>
                </c:pt>
                <c:pt idx="8">
                  <c:v>0.63175074183976265</c:v>
                </c:pt>
                <c:pt idx="9">
                  <c:v>0.68605341246290807</c:v>
                </c:pt>
                <c:pt idx="10">
                  <c:v>0.69109792284866478</c:v>
                </c:pt>
                <c:pt idx="11">
                  <c:v>0.73115727002967357</c:v>
                </c:pt>
                <c:pt idx="12">
                  <c:v>0.80029673590504469</c:v>
                </c:pt>
                <c:pt idx="13">
                  <c:v>0.87477744807121638</c:v>
                </c:pt>
                <c:pt idx="14">
                  <c:v>1</c:v>
                </c:pt>
                <c:pt idx="15">
                  <c:v>1</c:v>
                </c:pt>
              </c:numCache>
            </c:numRef>
          </c:yVal>
          <c:smooth val="0"/>
          <c:extLst>
            <c:ext xmlns:c16="http://schemas.microsoft.com/office/drawing/2014/chart" uri="{C3380CC4-5D6E-409C-BE32-E72D297353CC}">
              <c16:uniqueId val="{00000001-34D2-4E15-9FA8-4750C674D68D}"/>
            </c:ext>
          </c:extLst>
        </c:ser>
        <c:dLbls>
          <c:showLegendKey val="0"/>
          <c:showVal val="0"/>
          <c:showCatName val="0"/>
          <c:showSerName val="0"/>
          <c:showPercent val="0"/>
          <c:showBubbleSize val="0"/>
        </c:dLbls>
        <c:axId val="471562704"/>
        <c:axId val="471563264"/>
      </c:scatterChart>
      <c:valAx>
        <c:axId val="47156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1563264"/>
        <c:crosses val="autoZero"/>
        <c:crossBetween val="midCat"/>
      </c:valAx>
      <c:valAx>
        <c:axId val="4715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1562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a:t>candidate</a:t>
            </a:r>
            <a:r>
              <a:rPr lang="en-US" baseline="0"/>
              <a:t> </a:t>
            </a:r>
            <a:r>
              <a:rPr lang="en-US"/>
              <a:t>M vectors M=0.1 for</a:t>
            </a:r>
            <a:r>
              <a:rPr lang="en-US" baseline="0"/>
              <a:t> age 20 (ss scaling) or averages 0.1 for ages 10-25 (lorenzen scaling)</a:t>
            </a:r>
            <a:endParaRPr lang="en-US"/>
          </a:p>
        </c:rich>
      </c:tx>
      <c:layout>
        <c:manualLayout>
          <c:xMode val="edge"/>
          <c:yMode val="edge"/>
          <c:x val="5.0707618899925658E-2"/>
          <c:y val="0"/>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4265305523776"/>
          <c:y val="0.10690433260602124"/>
          <c:w val="0.86233943174891869"/>
          <c:h val="0.74997386199343752"/>
        </c:manualLayout>
      </c:layout>
      <c:scatterChart>
        <c:scatterStyle val="lineMarker"/>
        <c:varyColors val="0"/>
        <c:ser>
          <c:idx val="2"/>
          <c:order val="0"/>
          <c:tx>
            <c:strRef>
              <c:f>Summary_NewMvector!$H$3</c:f>
              <c:strCache>
                <c:ptCount val="1"/>
                <c:pt idx="0">
                  <c:v>WBFT</c:v>
                </c:pt>
              </c:strCache>
            </c:strRef>
          </c:tx>
          <c:spPr>
            <a:ln w="31750" cap="rnd">
              <a:solidFill>
                <a:schemeClr val="accent3"/>
              </a:solidFill>
              <a:round/>
            </a:ln>
            <a:effectLst/>
          </c:spPr>
          <c:marker>
            <c:symbol val="square"/>
            <c:size val="5"/>
            <c:spPr>
              <a:solidFill>
                <a:schemeClr val="accent3"/>
              </a:solidFill>
              <a:ln w="9525">
                <a:solidFill>
                  <a:schemeClr val="accent3"/>
                </a:solidFill>
              </a:ln>
              <a:effectLst/>
            </c:spPr>
          </c:marker>
          <c:xVal>
            <c:numRef>
              <c:f>Summary_NewMvector!$G$6:$G$30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Summary_NewMvector!$H$6:$H$30</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1-8FD4-4690-945E-0B1C3669DD49}"/>
            </c:ext>
          </c:extLst>
        </c:ser>
        <c:ser>
          <c:idx val="3"/>
          <c:order val="1"/>
          <c:tx>
            <c:strRef>
              <c:f>Summary_NewMvector!$I$3</c:f>
              <c:strCache>
                <c:ptCount val="1"/>
                <c:pt idx="0">
                  <c:v>EBFT</c:v>
                </c:pt>
              </c:strCache>
            </c:strRef>
          </c:tx>
          <c:spPr>
            <a:ln w="31750" cap="rnd">
              <a:solidFill>
                <a:schemeClr val="accent4"/>
              </a:solidFill>
              <a:round/>
            </a:ln>
            <a:effectLst/>
          </c:spPr>
          <c:marker>
            <c:symbol val="plus"/>
            <c:size val="5"/>
            <c:spPr>
              <a:noFill/>
              <a:ln w="9525">
                <a:solidFill>
                  <a:schemeClr val="accent4"/>
                </a:solidFill>
              </a:ln>
              <a:effectLst/>
            </c:spPr>
          </c:marker>
          <c:xVal>
            <c:numRef>
              <c:f>Summary_NewMvector!$G$6:$G$30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Summary_NewMvector!$I$6:$I$30</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2-8FD4-4690-945E-0B1C3669DD49}"/>
            </c:ext>
          </c:extLst>
        </c:ser>
        <c:ser>
          <c:idx val="6"/>
          <c:order val="2"/>
          <c:tx>
            <c:strRef>
              <c:f>Summary_NewMvector!$P$5</c:f>
              <c:strCache>
                <c:ptCount val="1"/>
                <c:pt idx="0">
                  <c:v>SS_scaling, m=0.1</c:v>
                </c:pt>
              </c:strCache>
            </c:strRef>
          </c:tx>
          <c:spPr>
            <a:ln w="28575" cap="rnd">
              <a:solidFill>
                <a:srgbClr val="FF0000"/>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Summary_NewMvector!$A$5:$A$30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Summary_NewMvector!$P$6:$P$30</c:f>
              <c:numCache>
                <c:formatCode>0.0000</c:formatCode>
                <c:ptCount val="25"/>
                <c:pt idx="0">
                  <c:v>0.4700998304906211</c:v>
                </c:pt>
                <c:pt idx="1">
                  <c:v>0.37121896292338535</c:v>
                </c:pt>
                <c:pt idx="2">
                  <c:v>0.29966484305169694</c:v>
                </c:pt>
                <c:pt idx="3">
                  <c:v>0.24809169776879977</c:v>
                </c:pt>
                <c:pt idx="4">
                  <c:v>0.21077629315481541</c:v>
                </c:pt>
                <c:pt idx="5">
                  <c:v>0.18354284203657478</c:v>
                </c:pt>
                <c:pt idx="6">
                  <c:v>0.16344932447332705</c:v>
                </c:pt>
                <c:pt idx="7">
                  <c:v>0.1484526856051456</c:v>
                </c:pt>
                <c:pt idx="8">
                  <c:v>0.13713607339663569</c:v>
                </c:pt>
                <c:pt idx="9">
                  <c:v>0.12851044813288992</c:v>
                </c:pt>
                <c:pt idx="10">
                  <c:v>0.12187778004986574</c:v>
                </c:pt>
                <c:pt idx="11">
                  <c:v>0.11673890910133462</c:v>
                </c:pt>
                <c:pt idx="12">
                  <c:v>0.11273192232989925</c:v>
                </c:pt>
                <c:pt idx="13">
                  <c:v>0.10959083738485631</c:v>
                </c:pt>
                <c:pt idx="14">
                  <c:v>0.10711767280240458</c:v>
                </c:pt>
                <c:pt idx="15">
                  <c:v>0.10516334827705018</c:v>
                </c:pt>
                <c:pt idx="16">
                  <c:v>0.10361444660669529</c:v>
                </c:pt>
                <c:pt idx="17">
                  <c:v>0.10238390583359844</c:v>
                </c:pt>
                <c:pt idx="18">
                  <c:v>0.10140437883677812</c:v>
                </c:pt>
                <c:pt idx="19">
                  <c:v>0.10062342794959374</c:v>
                </c:pt>
                <c:pt idx="20">
                  <c:v>0.1</c:v>
                </c:pt>
                <c:pt idx="21">
                  <c:v>9.9501807761661537E-2</c:v>
                </c:pt>
                <c:pt idx="22">
                  <c:v>9.9103362255371599E-2</c:v>
                </c:pt>
                <c:pt idx="23">
                  <c:v>9.8784478858202962E-2</c:v>
                </c:pt>
                <c:pt idx="24">
                  <c:v>9.852913283625768E-2</c:v>
                </c:pt>
              </c:numCache>
            </c:numRef>
          </c:yVal>
          <c:smooth val="0"/>
          <c:extLst>
            <c:ext xmlns:c16="http://schemas.microsoft.com/office/drawing/2014/chart" uri="{C3380CC4-5D6E-409C-BE32-E72D297353CC}">
              <c16:uniqueId val="{00000006-8FD4-4690-945E-0B1C3669DD49}"/>
            </c:ext>
          </c:extLst>
        </c:ser>
        <c:ser>
          <c:idx val="0"/>
          <c:order val="3"/>
          <c:tx>
            <c:strRef>
              <c:f>Summary_NewMvector!$Q$5</c:f>
              <c:strCache>
                <c:ptCount val="1"/>
                <c:pt idx="0">
                  <c:v>Lorenzen M=0.1</c:v>
                </c:pt>
              </c:strCache>
            </c:strRef>
          </c:tx>
          <c:spPr>
            <a:ln w="28575" cap="rnd">
              <a:solidFill>
                <a:srgbClr val="FFC000"/>
              </a:solidFill>
              <a:prstDash val="sysDash"/>
              <a:round/>
            </a:ln>
            <a:effectLst/>
          </c:spPr>
          <c:marker>
            <c:symbol val="circle"/>
            <c:size val="5"/>
            <c:spPr>
              <a:solidFill>
                <a:schemeClr val="accent1"/>
              </a:solidFill>
              <a:ln w="9525">
                <a:solidFill>
                  <a:schemeClr val="accent1"/>
                </a:solidFill>
              </a:ln>
              <a:effectLst/>
            </c:spPr>
          </c:marker>
          <c:xVal>
            <c:numRef>
              <c:f>Summary_NewMvector!$A$5:$A$29</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Summary_NewMvector!$Q$6:$Q$30</c:f>
              <c:numCache>
                <c:formatCode>0.0000</c:formatCode>
                <c:ptCount val="25"/>
                <c:pt idx="0">
                  <c:v>0.51847828416948061</c:v>
                </c:pt>
                <c:pt idx="1">
                  <c:v>0.38322347910911508</c:v>
                </c:pt>
                <c:pt idx="2">
                  <c:v>0.29770040811564191</c:v>
                </c:pt>
                <c:pt idx="3">
                  <c:v>0.24141824912580856</c:v>
                </c:pt>
                <c:pt idx="4">
                  <c:v>0.20308718825075456</c:v>
                </c:pt>
                <c:pt idx="5">
                  <c:v>0.17621135374656022</c:v>
                </c:pt>
                <c:pt idx="6">
                  <c:v>0.15690139833953576</c:v>
                </c:pt>
                <c:pt idx="7">
                  <c:v>0.14274226147455232</c:v>
                </c:pt>
                <c:pt idx="8">
                  <c:v>0.13218376280096134</c:v>
                </c:pt>
                <c:pt idx="9">
                  <c:v>0.12420049723891036</c:v>
                </c:pt>
                <c:pt idx="10">
                  <c:v>0.11809554589074961</c:v>
                </c:pt>
                <c:pt idx="11">
                  <c:v>0.11338360936013597</c:v>
                </c:pt>
                <c:pt idx="12">
                  <c:v>0.10971938739731027</c:v>
                </c:pt>
                <c:pt idx="13">
                  <c:v>0.10685248896517968</c:v>
                </c:pt>
                <c:pt idx="14">
                  <c:v>0.10459832100448412</c:v>
                </c:pt>
                <c:pt idx="15">
                  <c:v>0.1028188445583295</c:v>
                </c:pt>
                <c:pt idx="16">
                  <c:v>0.10140956909151454</c:v>
                </c:pt>
                <c:pt idx="17">
                  <c:v>0.10029057909735418</c:v>
                </c:pt>
                <c:pt idx="18">
                  <c:v>9.9400222616575246E-2</c:v>
                </c:pt>
                <c:pt idx="19">
                  <c:v>9.869059263555964E-2</c:v>
                </c:pt>
                <c:pt idx="20">
                  <c:v>9.8124239341720057E-2</c:v>
                </c:pt>
                <c:pt idx="21">
                  <c:v>9.7671742850294715E-2</c:v>
                </c:pt>
                <c:pt idx="22">
                  <c:v>9.7309897825971423E-2</c:v>
                </c:pt>
                <c:pt idx="23">
                  <c:v>9.7020340206219594E-2</c:v>
                </c:pt>
                <c:pt idx="24">
                  <c:v>9.6788498055171007E-2</c:v>
                </c:pt>
              </c:numCache>
            </c:numRef>
          </c:yVal>
          <c:smooth val="0"/>
          <c:extLst>
            <c:ext xmlns:c16="http://schemas.microsoft.com/office/drawing/2014/chart" uri="{C3380CC4-5D6E-409C-BE32-E72D297353CC}">
              <c16:uniqueId val="{00000000-86B0-4FBD-9433-B985C4EBBFE9}"/>
            </c:ext>
          </c:extLst>
        </c:ser>
        <c:ser>
          <c:idx val="1"/>
          <c:order val="4"/>
          <c:tx>
            <c:strRef>
              <c:f>SBT!$C$1</c:f>
              <c:strCache>
                <c:ptCount val="1"/>
                <c:pt idx="0">
                  <c:v>SBT 50%</c:v>
                </c:pt>
              </c:strCache>
            </c:strRef>
          </c:tx>
          <c:spPr>
            <a:ln w="34925" cap="rnd">
              <a:solidFill>
                <a:srgbClr val="00B050"/>
              </a:solidFill>
              <a:round/>
            </a:ln>
            <a:effectLst/>
          </c:spPr>
          <c:marker>
            <c:symbol val="circle"/>
            <c:size val="5"/>
            <c:spPr>
              <a:solidFill>
                <a:schemeClr val="accent2"/>
              </a:solidFill>
              <a:ln w="9525">
                <a:solidFill>
                  <a:schemeClr val="accent2"/>
                </a:solidFill>
              </a:ln>
              <a:effectLst/>
            </c:spPr>
          </c:marker>
          <c:xVal>
            <c:numRef>
              <c:f>SBT!$A$2:$A$32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SBT!$C$2:$C$32</c:f>
              <c:numCache>
                <c:formatCode>General</c:formatCode>
                <c:ptCount val="31"/>
                <c:pt idx="0">
                  <c:v>0.4</c:v>
                </c:pt>
                <c:pt idx="1">
                  <c:v>0.4</c:v>
                </c:pt>
                <c:pt idx="2">
                  <c:v>0.248144</c:v>
                </c:pt>
                <c:pt idx="3">
                  <c:v>0.207649</c:v>
                </c:pt>
                <c:pt idx="4">
                  <c:v>0.17752699999999999</c:v>
                </c:pt>
                <c:pt idx="5">
                  <c:v>0.15246399999999999</c:v>
                </c:pt>
                <c:pt idx="6">
                  <c:v>0.13342399999999999</c:v>
                </c:pt>
                <c:pt idx="7">
                  <c:v>0.114909</c:v>
                </c:pt>
                <c:pt idx="8">
                  <c:v>9.9388000000000004E-2</c:v>
                </c:pt>
                <c:pt idx="9">
                  <c:v>8.6634199999999995E-2</c:v>
                </c:pt>
                <c:pt idx="10">
                  <c:v>7.4999999999999997E-2</c:v>
                </c:pt>
                <c:pt idx="11">
                  <c:v>7.4999999999999997E-2</c:v>
                </c:pt>
                <c:pt idx="12">
                  <c:v>7.4999999999999997E-2</c:v>
                </c:pt>
                <c:pt idx="13">
                  <c:v>7.4999999999999997E-2</c:v>
                </c:pt>
                <c:pt idx="14">
                  <c:v>7.4999999999999997E-2</c:v>
                </c:pt>
                <c:pt idx="15">
                  <c:v>7.4999999999999997E-2</c:v>
                </c:pt>
                <c:pt idx="16">
                  <c:v>7.4999999999999997E-2</c:v>
                </c:pt>
                <c:pt idx="17">
                  <c:v>7.4999999999999997E-2</c:v>
                </c:pt>
                <c:pt idx="18">
                  <c:v>7.4999999999999997E-2</c:v>
                </c:pt>
                <c:pt idx="19">
                  <c:v>7.4999999999999997E-2</c:v>
                </c:pt>
                <c:pt idx="20">
                  <c:v>7.4999999999999997E-2</c:v>
                </c:pt>
                <c:pt idx="21">
                  <c:v>7.4999999999999997E-2</c:v>
                </c:pt>
                <c:pt idx="22">
                  <c:v>7.4999999999999997E-2</c:v>
                </c:pt>
                <c:pt idx="23">
                  <c:v>7.4999999999999997E-2</c:v>
                </c:pt>
                <c:pt idx="24">
                  <c:v>7.4999999999999997E-2</c:v>
                </c:pt>
                <c:pt idx="25">
                  <c:v>7.4999999999999997E-2</c:v>
                </c:pt>
                <c:pt idx="26">
                  <c:v>0.151674</c:v>
                </c:pt>
                <c:pt idx="27">
                  <c:v>0.229824</c:v>
                </c:pt>
                <c:pt idx="28">
                  <c:v>0.30963600000000002</c:v>
                </c:pt>
                <c:pt idx="29">
                  <c:v>0.38914599999999999</c:v>
                </c:pt>
                <c:pt idx="30">
                  <c:v>0.47126499999999999</c:v>
                </c:pt>
              </c:numCache>
            </c:numRef>
          </c:yVal>
          <c:smooth val="0"/>
          <c:extLst>
            <c:ext xmlns:c16="http://schemas.microsoft.com/office/drawing/2014/chart" uri="{C3380CC4-5D6E-409C-BE32-E72D297353CC}">
              <c16:uniqueId val="{00000001-86B0-4FBD-9433-B985C4EBBFE9}"/>
            </c:ext>
          </c:extLst>
        </c:ser>
        <c:dLbls>
          <c:showLegendKey val="0"/>
          <c:showVal val="0"/>
          <c:showCatName val="0"/>
          <c:showSerName val="0"/>
          <c:showPercent val="0"/>
          <c:showBubbleSize val="0"/>
        </c:dLbls>
        <c:axId val="122715424"/>
        <c:axId val="122714864"/>
      </c:scatterChart>
      <c:valAx>
        <c:axId val="122715424"/>
        <c:scaling>
          <c:orientation val="minMax"/>
          <c:max val="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crossAx val="122714864"/>
        <c:crosses val="autoZero"/>
        <c:crossBetween val="midCat"/>
      </c:valAx>
      <c:valAx>
        <c:axId val="122714864"/>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crossAx val="122715424"/>
        <c:crosses val="autoZero"/>
        <c:crossBetween val="midCat"/>
      </c:valAx>
      <c:spPr>
        <a:noFill/>
        <a:ln>
          <a:noFill/>
        </a:ln>
        <a:effectLst/>
      </c:spPr>
    </c:plotArea>
    <c:legend>
      <c:legendPos val="b"/>
      <c:layout>
        <c:manualLayout>
          <c:xMode val="edge"/>
          <c:yMode val="edge"/>
          <c:x val="0.24882569999137363"/>
          <c:y val="0.14181277015880003"/>
          <c:w val="0.50729489681081041"/>
          <c:h val="0.24902796297713933"/>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a:t>candidate</a:t>
            </a:r>
            <a:r>
              <a:rPr lang="en-US" baseline="0"/>
              <a:t> </a:t>
            </a:r>
            <a:r>
              <a:rPr lang="en-US"/>
              <a:t>M vectors</a:t>
            </a:r>
          </a:p>
        </c:rich>
      </c:tx>
      <c:layout>
        <c:manualLayout>
          <c:xMode val="edge"/>
          <c:yMode val="edge"/>
          <c:x val="4.8071062349861991E-2"/>
          <c:y val="0"/>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4265305523776"/>
          <c:y val="0.10690433260602124"/>
          <c:w val="0.86233943174891869"/>
          <c:h val="0.74997386199343752"/>
        </c:manualLayout>
      </c:layout>
      <c:scatterChart>
        <c:scatterStyle val="lineMarker"/>
        <c:varyColors val="0"/>
        <c:ser>
          <c:idx val="2"/>
          <c:order val="0"/>
          <c:tx>
            <c:strRef>
              <c:f>Summary_NewMvector!$H$3</c:f>
              <c:strCache>
                <c:ptCount val="1"/>
                <c:pt idx="0">
                  <c:v>WBFT</c:v>
                </c:pt>
              </c:strCache>
            </c:strRef>
          </c:tx>
          <c:spPr>
            <a:ln w="31750" cap="rnd">
              <a:solidFill>
                <a:schemeClr val="accent3"/>
              </a:solidFill>
              <a:round/>
            </a:ln>
            <a:effectLst/>
          </c:spPr>
          <c:marker>
            <c:symbol val="square"/>
            <c:size val="5"/>
            <c:spPr>
              <a:solidFill>
                <a:schemeClr val="accent3"/>
              </a:solidFill>
              <a:ln w="9525">
                <a:solidFill>
                  <a:schemeClr val="accent3"/>
                </a:solidFill>
              </a:ln>
              <a:effectLst/>
            </c:spPr>
          </c:marker>
          <c:xVal>
            <c:numRef>
              <c:f>Summary_NewMvector!$G$6:$G$30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Summary_NewMvector!$H$6:$H$30</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0-64B3-45CB-B53E-2295748AD08F}"/>
            </c:ext>
          </c:extLst>
        </c:ser>
        <c:ser>
          <c:idx val="3"/>
          <c:order val="1"/>
          <c:tx>
            <c:strRef>
              <c:f>Summary_NewMvector!$I$3</c:f>
              <c:strCache>
                <c:ptCount val="1"/>
                <c:pt idx="0">
                  <c:v>EBFT</c:v>
                </c:pt>
              </c:strCache>
            </c:strRef>
          </c:tx>
          <c:spPr>
            <a:ln w="31750" cap="rnd">
              <a:solidFill>
                <a:schemeClr val="accent4"/>
              </a:solidFill>
              <a:round/>
            </a:ln>
            <a:effectLst/>
          </c:spPr>
          <c:marker>
            <c:symbol val="plus"/>
            <c:size val="5"/>
            <c:spPr>
              <a:noFill/>
              <a:ln w="9525">
                <a:solidFill>
                  <a:schemeClr val="accent4"/>
                </a:solidFill>
              </a:ln>
              <a:effectLst/>
            </c:spPr>
          </c:marker>
          <c:xVal>
            <c:numRef>
              <c:f>Summary_NewMvector!$G$6:$G$30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Summary_NewMvector!$I$6:$I$30</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1-64B3-45CB-B53E-2295748AD08F}"/>
            </c:ext>
          </c:extLst>
        </c:ser>
        <c:ser>
          <c:idx val="6"/>
          <c:order val="2"/>
          <c:tx>
            <c:strRef>
              <c:f>Summary_NewMvector!$P$5</c:f>
              <c:strCache>
                <c:ptCount val="1"/>
                <c:pt idx="0">
                  <c:v>SS_scaling, m=0.1</c:v>
                </c:pt>
              </c:strCache>
            </c:strRef>
          </c:tx>
          <c:spPr>
            <a:ln w="28575" cap="rnd">
              <a:solidFill>
                <a:srgbClr val="FF0000"/>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Summary_NewMvector!$A$5:$A$30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Summary_NewMvector!$P$6:$P$30</c:f>
              <c:numCache>
                <c:formatCode>0.0000</c:formatCode>
                <c:ptCount val="25"/>
                <c:pt idx="0">
                  <c:v>0.4700998304906211</c:v>
                </c:pt>
                <c:pt idx="1">
                  <c:v>0.37121896292338535</c:v>
                </c:pt>
                <c:pt idx="2">
                  <c:v>0.29966484305169694</c:v>
                </c:pt>
                <c:pt idx="3">
                  <c:v>0.24809169776879977</c:v>
                </c:pt>
                <c:pt idx="4">
                  <c:v>0.21077629315481541</c:v>
                </c:pt>
                <c:pt idx="5">
                  <c:v>0.18354284203657478</c:v>
                </c:pt>
                <c:pt idx="6">
                  <c:v>0.16344932447332705</c:v>
                </c:pt>
                <c:pt idx="7">
                  <c:v>0.1484526856051456</c:v>
                </c:pt>
                <c:pt idx="8">
                  <c:v>0.13713607339663569</c:v>
                </c:pt>
                <c:pt idx="9">
                  <c:v>0.12851044813288992</c:v>
                </c:pt>
                <c:pt idx="10">
                  <c:v>0.12187778004986574</c:v>
                </c:pt>
                <c:pt idx="11">
                  <c:v>0.11673890910133462</c:v>
                </c:pt>
                <c:pt idx="12">
                  <c:v>0.11273192232989925</c:v>
                </c:pt>
                <c:pt idx="13">
                  <c:v>0.10959083738485631</c:v>
                </c:pt>
                <c:pt idx="14">
                  <c:v>0.10711767280240458</c:v>
                </c:pt>
                <c:pt idx="15">
                  <c:v>0.10516334827705018</c:v>
                </c:pt>
                <c:pt idx="16">
                  <c:v>0.10361444660669529</c:v>
                </c:pt>
                <c:pt idx="17">
                  <c:v>0.10238390583359844</c:v>
                </c:pt>
                <c:pt idx="18">
                  <c:v>0.10140437883677812</c:v>
                </c:pt>
                <c:pt idx="19">
                  <c:v>0.10062342794959374</c:v>
                </c:pt>
                <c:pt idx="20">
                  <c:v>0.1</c:v>
                </c:pt>
                <c:pt idx="21">
                  <c:v>9.9501807761661537E-2</c:v>
                </c:pt>
                <c:pt idx="22">
                  <c:v>9.9103362255371599E-2</c:v>
                </c:pt>
                <c:pt idx="23">
                  <c:v>9.8784478858202962E-2</c:v>
                </c:pt>
                <c:pt idx="24">
                  <c:v>9.852913283625768E-2</c:v>
                </c:pt>
              </c:numCache>
            </c:numRef>
          </c:yVal>
          <c:smooth val="0"/>
          <c:extLst>
            <c:ext xmlns:c16="http://schemas.microsoft.com/office/drawing/2014/chart" uri="{C3380CC4-5D6E-409C-BE32-E72D297353CC}">
              <c16:uniqueId val="{00000002-64B3-45CB-B53E-2295748AD08F}"/>
            </c:ext>
          </c:extLst>
        </c:ser>
        <c:ser>
          <c:idx val="0"/>
          <c:order val="3"/>
          <c:tx>
            <c:strRef>
              <c:f>Summary_NewMvector!$Q$5</c:f>
              <c:strCache>
                <c:ptCount val="1"/>
                <c:pt idx="0">
                  <c:v>Lorenzen M=0.1</c:v>
                </c:pt>
              </c:strCache>
            </c:strRef>
          </c:tx>
          <c:spPr>
            <a:ln w="28575" cap="rnd">
              <a:solidFill>
                <a:srgbClr val="FFC000"/>
              </a:solidFill>
              <a:prstDash val="sysDash"/>
              <a:round/>
            </a:ln>
            <a:effectLst/>
          </c:spPr>
          <c:marker>
            <c:symbol val="circle"/>
            <c:size val="5"/>
            <c:spPr>
              <a:solidFill>
                <a:schemeClr val="accent1"/>
              </a:solidFill>
              <a:ln w="9525">
                <a:solidFill>
                  <a:schemeClr val="accent1"/>
                </a:solidFill>
              </a:ln>
              <a:effectLst/>
            </c:spPr>
          </c:marker>
          <c:xVal>
            <c:numRef>
              <c:f>Summary_NewMvector!$A$5:$A$29</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Summary_NewMvector!$Q$6:$Q$30</c:f>
              <c:numCache>
                <c:formatCode>0.0000</c:formatCode>
                <c:ptCount val="25"/>
                <c:pt idx="0">
                  <c:v>0.51847828416948061</c:v>
                </c:pt>
                <c:pt idx="1">
                  <c:v>0.38322347910911508</c:v>
                </c:pt>
                <c:pt idx="2">
                  <c:v>0.29770040811564191</c:v>
                </c:pt>
                <c:pt idx="3">
                  <c:v>0.24141824912580856</c:v>
                </c:pt>
                <c:pt idx="4">
                  <c:v>0.20308718825075456</c:v>
                </c:pt>
                <c:pt idx="5">
                  <c:v>0.17621135374656022</c:v>
                </c:pt>
                <c:pt idx="6">
                  <c:v>0.15690139833953576</c:v>
                </c:pt>
                <c:pt idx="7">
                  <c:v>0.14274226147455232</c:v>
                </c:pt>
                <c:pt idx="8">
                  <c:v>0.13218376280096134</c:v>
                </c:pt>
                <c:pt idx="9">
                  <c:v>0.12420049723891036</c:v>
                </c:pt>
                <c:pt idx="10">
                  <c:v>0.11809554589074961</c:v>
                </c:pt>
                <c:pt idx="11">
                  <c:v>0.11338360936013597</c:v>
                </c:pt>
                <c:pt idx="12">
                  <c:v>0.10971938739731027</c:v>
                </c:pt>
                <c:pt idx="13">
                  <c:v>0.10685248896517968</c:v>
                </c:pt>
                <c:pt idx="14">
                  <c:v>0.10459832100448412</c:v>
                </c:pt>
                <c:pt idx="15">
                  <c:v>0.1028188445583295</c:v>
                </c:pt>
                <c:pt idx="16">
                  <c:v>0.10140956909151454</c:v>
                </c:pt>
                <c:pt idx="17">
                  <c:v>0.10029057909735418</c:v>
                </c:pt>
                <c:pt idx="18">
                  <c:v>9.9400222616575246E-2</c:v>
                </c:pt>
                <c:pt idx="19">
                  <c:v>9.869059263555964E-2</c:v>
                </c:pt>
                <c:pt idx="20">
                  <c:v>9.8124239341720057E-2</c:v>
                </c:pt>
                <c:pt idx="21">
                  <c:v>9.7671742850294715E-2</c:v>
                </c:pt>
                <c:pt idx="22">
                  <c:v>9.7309897825971423E-2</c:v>
                </c:pt>
                <c:pt idx="23">
                  <c:v>9.7020340206219594E-2</c:v>
                </c:pt>
                <c:pt idx="24">
                  <c:v>9.6788498055171007E-2</c:v>
                </c:pt>
              </c:numCache>
            </c:numRef>
          </c:yVal>
          <c:smooth val="0"/>
          <c:extLst>
            <c:ext xmlns:c16="http://schemas.microsoft.com/office/drawing/2014/chart" uri="{C3380CC4-5D6E-409C-BE32-E72D297353CC}">
              <c16:uniqueId val="{00000003-64B3-45CB-B53E-2295748AD08F}"/>
            </c:ext>
          </c:extLst>
        </c:ser>
        <c:dLbls>
          <c:showLegendKey val="0"/>
          <c:showVal val="0"/>
          <c:showCatName val="0"/>
          <c:showSerName val="0"/>
          <c:showPercent val="0"/>
          <c:showBubbleSize val="0"/>
        </c:dLbls>
        <c:axId val="122715424"/>
        <c:axId val="122714864"/>
        <c:extLst>
          <c:ext xmlns:c15="http://schemas.microsoft.com/office/drawing/2012/chart" uri="{02D57815-91ED-43cb-92C2-25804820EDAC}">
            <c15:filteredScatterSeries>
              <c15:ser>
                <c:idx val="1"/>
                <c:order val="4"/>
                <c:tx>
                  <c:strRef>
                    <c:extLst>
                      <c:ext uri="{02D57815-91ED-43cb-92C2-25804820EDAC}">
                        <c15:formulaRef>
                          <c15:sqref>SBT!$C$1</c15:sqref>
                        </c15:formulaRef>
                      </c:ext>
                    </c:extLst>
                    <c:strCache>
                      <c:ptCount val="1"/>
                      <c:pt idx="0">
                        <c:v>SBT 50%</c:v>
                      </c:pt>
                    </c:strCache>
                  </c:strRef>
                </c:tx>
                <c:spPr>
                  <a:ln w="34925" cap="rnd">
                    <a:solidFill>
                      <a:srgbClr val="00B050"/>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SBT!$A$2:$A$32</c15:sqref>
                        </c15:formulaRef>
                      </c:ext>
                    </c:extLst>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extLst>
                      <c:ext uri="{02D57815-91ED-43cb-92C2-25804820EDAC}">
                        <c15:formulaRef>
                          <c15:sqref>SBT!$C$2:$C$32</c15:sqref>
                        </c15:formulaRef>
                      </c:ext>
                    </c:extLst>
                    <c:numCache>
                      <c:formatCode>General</c:formatCode>
                      <c:ptCount val="31"/>
                      <c:pt idx="0">
                        <c:v>0.4</c:v>
                      </c:pt>
                      <c:pt idx="1">
                        <c:v>0.4</c:v>
                      </c:pt>
                      <c:pt idx="2">
                        <c:v>0.248144</c:v>
                      </c:pt>
                      <c:pt idx="3">
                        <c:v>0.207649</c:v>
                      </c:pt>
                      <c:pt idx="4">
                        <c:v>0.17752699999999999</c:v>
                      </c:pt>
                      <c:pt idx="5">
                        <c:v>0.15246399999999999</c:v>
                      </c:pt>
                      <c:pt idx="6">
                        <c:v>0.13342399999999999</c:v>
                      </c:pt>
                      <c:pt idx="7">
                        <c:v>0.114909</c:v>
                      </c:pt>
                      <c:pt idx="8">
                        <c:v>9.9388000000000004E-2</c:v>
                      </c:pt>
                      <c:pt idx="9">
                        <c:v>8.6634199999999995E-2</c:v>
                      </c:pt>
                      <c:pt idx="10">
                        <c:v>7.4999999999999997E-2</c:v>
                      </c:pt>
                      <c:pt idx="11">
                        <c:v>7.4999999999999997E-2</c:v>
                      </c:pt>
                      <c:pt idx="12">
                        <c:v>7.4999999999999997E-2</c:v>
                      </c:pt>
                      <c:pt idx="13">
                        <c:v>7.4999999999999997E-2</c:v>
                      </c:pt>
                      <c:pt idx="14">
                        <c:v>7.4999999999999997E-2</c:v>
                      </c:pt>
                      <c:pt idx="15">
                        <c:v>7.4999999999999997E-2</c:v>
                      </c:pt>
                      <c:pt idx="16">
                        <c:v>7.4999999999999997E-2</c:v>
                      </c:pt>
                      <c:pt idx="17">
                        <c:v>7.4999999999999997E-2</c:v>
                      </c:pt>
                      <c:pt idx="18">
                        <c:v>7.4999999999999997E-2</c:v>
                      </c:pt>
                      <c:pt idx="19">
                        <c:v>7.4999999999999997E-2</c:v>
                      </c:pt>
                      <c:pt idx="20">
                        <c:v>7.4999999999999997E-2</c:v>
                      </c:pt>
                      <c:pt idx="21">
                        <c:v>7.4999999999999997E-2</c:v>
                      </c:pt>
                      <c:pt idx="22">
                        <c:v>7.4999999999999997E-2</c:v>
                      </c:pt>
                      <c:pt idx="23">
                        <c:v>7.4999999999999997E-2</c:v>
                      </c:pt>
                      <c:pt idx="24">
                        <c:v>7.4999999999999997E-2</c:v>
                      </c:pt>
                      <c:pt idx="25">
                        <c:v>7.4999999999999997E-2</c:v>
                      </c:pt>
                      <c:pt idx="26">
                        <c:v>0.151674</c:v>
                      </c:pt>
                      <c:pt idx="27">
                        <c:v>0.229824</c:v>
                      </c:pt>
                      <c:pt idx="28">
                        <c:v>0.30963600000000002</c:v>
                      </c:pt>
                      <c:pt idx="29">
                        <c:v>0.38914599999999999</c:v>
                      </c:pt>
                      <c:pt idx="30">
                        <c:v>0.47126499999999999</c:v>
                      </c:pt>
                    </c:numCache>
                  </c:numRef>
                </c:yVal>
                <c:smooth val="0"/>
                <c:extLst>
                  <c:ext xmlns:c16="http://schemas.microsoft.com/office/drawing/2014/chart" uri="{C3380CC4-5D6E-409C-BE32-E72D297353CC}">
                    <c16:uniqueId val="{00000004-64B3-45CB-B53E-2295748AD08F}"/>
                  </c:ext>
                </c:extLst>
              </c15:ser>
            </c15:filteredScatterSeries>
          </c:ext>
        </c:extLst>
      </c:scatterChart>
      <c:valAx>
        <c:axId val="122715424"/>
        <c:scaling>
          <c:orientation val="minMax"/>
          <c:max val="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crossAx val="122714864"/>
        <c:crosses val="autoZero"/>
        <c:crossBetween val="midCat"/>
      </c:valAx>
      <c:valAx>
        <c:axId val="122714864"/>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crossAx val="122715424"/>
        <c:crosses val="autoZero"/>
        <c:crossBetween val="midCat"/>
      </c:valAx>
      <c:spPr>
        <a:noFill/>
        <a:ln>
          <a:noFill/>
        </a:ln>
        <a:effectLst/>
      </c:spPr>
    </c:plotArea>
    <c:legend>
      <c:legendPos val="b"/>
      <c:layout>
        <c:manualLayout>
          <c:xMode val="edge"/>
          <c:yMode val="edge"/>
          <c:x val="0.24882569999137363"/>
          <c:y val="0.14181277015880003"/>
          <c:w val="0.50729489681081041"/>
          <c:h val="0.24902796297713933"/>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Natural</a:t>
            </a:r>
            <a:r>
              <a:rPr lang="en-US" altLang="ja-JP" baseline="0"/>
              <a:t> Mortality</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Summary_NewMvector!$D$77</c:f>
              <c:strCache>
                <c:ptCount val="1"/>
                <c:pt idx="0">
                  <c:v>Lorenzen M=0.1</c:v>
                </c:pt>
              </c:strCache>
            </c:strRef>
          </c:tx>
          <c:spPr>
            <a:ln w="28575" cap="rnd">
              <a:solidFill>
                <a:srgbClr val="FF0000"/>
              </a:solidFill>
              <a:round/>
            </a:ln>
            <a:effectLst/>
          </c:spPr>
          <c:marker>
            <c:symbol val="none"/>
          </c:marker>
          <c:cat>
            <c:numRef>
              <c:f>Summary_NewMvector!$C$78:$C$97</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Summary_NewMvector!$D$78:$D$97</c:f>
              <c:numCache>
                <c:formatCode>0.0000</c:formatCode>
                <c:ptCount val="20"/>
                <c:pt idx="0">
                  <c:v>0.38322347910911508</c:v>
                </c:pt>
                <c:pt idx="1">
                  <c:v>0.29770040811564191</c:v>
                </c:pt>
                <c:pt idx="2">
                  <c:v>0.24141824912580856</c:v>
                </c:pt>
                <c:pt idx="3">
                  <c:v>0.20308718825075456</c:v>
                </c:pt>
                <c:pt idx="4">
                  <c:v>0.17621135374656022</c:v>
                </c:pt>
                <c:pt idx="5">
                  <c:v>0.15690139833953576</c:v>
                </c:pt>
                <c:pt idx="6">
                  <c:v>0.14274226147455232</c:v>
                </c:pt>
                <c:pt idx="7">
                  <c:v>0.13218376280096134</c:v>
                </c:pt>
                <c:pt idx="8">
                  <c:v>0.12420049723891036</c:v>
                </c:pt>
                <c:pt idx="9">
                  <c:v>0.11809554589074961</c:v>
                </c:pt>
                <c:pt idx="10">
                  <c:v>0.11338360936013597</c:v>
                </c:pt>
                <c:pt idx="11">
                  <c:v>0.10971938739731027</c:v>
                </c:pt>
                <c:pt idx="12">
                  <c:v>0.10685248896517968</c:v>
                </c:pt>
                <c:pt idx="13">
                  <c:v>0.10459832100448412</c:v>
                </c:pt>
                <c:pt idx="14">
                  <c:v>0.1028188445583295</c:v>
                </c:pt>
                <c:pt idx="15">
                  <c:v>0.10140956909151454</c:v>
                </c:pt>
                <c:pt idx="16">
                  <c:v>0.10029057909735418</c:v>
                </c:pt>
                <c:pt idx="17">
                  <c:v>9.9400222616575246E-2</c:v>
                </c:pt>
                <c:pt idx="18">
                  <c:v>9.869059263555964E-2</c:v>
                </c:pt>
                <c:pt idx="19">
                  <c:v>9.8124239341720057E-2</c:v>
                </c:pt>
              </c:numCache>
            </c:numRef>
          </c:val>
          <c:smooth val="0"/>
          <c:extLst>
            <c:ext xmlns:c16="http://schemas.microsoft.com/office/drawing/2014/chart" uri="{C3380CC4-5D6E-409C-BE32-E72D297353CC}">
              <c16:uniqueId val="{00000000-2878-4CFF-BA9C-E23CC975CD5F}"/>
            </c:ext>
          </c:extLst>
        </c:ser>
        <c:ser>
          <c:idx val="1"/>
          <c:order val="1"/>
          <c:tx>
            <c:strRef>
              <c:f>Summary_NewMvector!$E$77</c:f>
              <c:strCache>
                <c:ptCount val="1"/>
                <c:pt idx="0">
                  <c:v>Lorenzen M=0.1, +0.05</c:v>
                </c:pt>
              </c:strCache>
            </c:strRef>
          </c:tx>
          <c:spPr>
            <a:ln w="22225" cap="rnd">
              <a:solidFill>
                <a:srgbClr val="FF0000"/>
              </a:solidFill>
              <a:prstDash val="sysDash"/>
              <a:round/>
            </a:ln>
            <a:effectLst/>
          </c:spPr>
          <c:marker>
            <c:symbol val="none"/>
          </c:marker>
          <c:cat>
            <c:numRef>
              <c:f>Summary_NewMvector!$C$78:$C$97</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Summary_NewMvector!$E$78:$E$97</c:f>
              <c:numCache>
                <c:formatCode>0.0000</c:formatCode>
                <c:ptCount val="20"/>
                <c:pt idx="0">
                  <c:v>0.43322347910911507</c:v>
                </c:pt>
                <c:pt idx="1">
                  <c:v>0.3477004081156419</c:v>
                </c:pt>
                <c:pt idx="2">
                  <c:v>0.29141824912580855</c:v>
                </c:pt>
                <c:pt idx="3">
                  <c:v>0.25308718825075455</c:v>
                </c:pt>
                <c:pt idx="4">
                  <c:v>0.22621135374656021</c:v>
                </c:pt>
                <c:pt idx="5">
                  <c:v>0.20690139833953575</c:v>
                </c:pt>
                <c:pt idx="6">
                  <c:v>0.19274226147455231</c:v>
                </c:pt>
                <c:pt idx="7">
                  <c:v>0.18218376280096132</c:v>
                </c:pt>
                <c:pt idx="8">
                  <c:v>0.17420049723891035</c:v>
                </c:pt>
                <c:pt idx="9">
                  <c:v>0.1680955458907496</c:v>
                </c:pt>
                <c:pt idx="10">
                  <c:v>0.16338360936013596</c:v>
                </c:pt>
                <c:pt idx="11">
                  <c:v>0.15971938739731029</c:v>
                </c:pt>
                <c:pt idx="12">
                  <c:v>0.15685248896517967</c:v>
                </c:pt>
                <c:pt idx="13">
                  <c:v>0.15459832100448412</c:v>
                </c:pt>
                <c:pt idx="14">
                  <c:v>0.1528188445583295</c:v>
                </c:pt>
                <c:pt idx="15">
                  <c:v>0.15140956909151454</c:v>
                </c:pt>
                <c:pt idx="16">
                  <c:v>0.15029057909735419</c:v>
                </c:pt>
                <c:pt idx="17">
                  <c:v>0.14940022261657526</c:v>
                </c:pt>
                <c:pt idx="18">
                  <c:v>0.14869059263555964</c:v>
                </c:pt>
                <c:pt idx="19">
                  <c:v>0.14812423934172006</c:v>
                </c:pt>
              </c:numCache>
            </c:numRef>
          </c:val>
          <c:smooth val="0"/>
          <c:extLst>
            <c:ext xmlns:c16="http://schemas.microsoft.com/office/drawing/2014/chart" uri="{C3380CC4-5D6E-409C-BE32-E72D297353CC}">
              <c16:uniqueId val="{00000001-2878-4CFF-BA9C-E23CC975CD5F}"/>
            </c:ext>
          </c:extLst>
        </c:ser>
        <c:ser>
          <c:idx val="2"/>
          <c:order val="2"/>
          <c:tx>
            <c:strRef>
              <c:f>Summary_NewMvector!$F$77</c:f>
              <c:strCache>
                <c:ptCount val="1"/>
                <c:pt idx="0">
                  <c:v>Lorenzen M=0.1, -0.05</c:v>
                </c:pt>
              </c:strCache>
            </c:strRef>
          </c:tx>
          <c:spPr>
            <a:ln w="22225" cap="rnd">
              <a:solidFill>
                <a:srgbClr val="FF0000"/>
              </a:solidFill>
              <a:prstDash val="sysDash"/>
              <a:round/>
            </a:ln>
            <a:effectLst/>
          </c:spPr>
          <c:marker>
            <c:symbol val="none"/>
          </c:marker>
          <c:cat>
            <c:numRef>
              <c:f>Summary_NewMvector!$C$78:$C$97</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Summary_NewMvector!$F$78:$F$97</c:f>
              <c:numCache>
                <c:formatCode>0.0000</c:formatCode>
                <c:ptCount val="20"/>
                <c:pt idx="0">
                  <c:v>0.33322347910911509</c:v>
                </c:pt>
                <c:pt idx="1">
                  <c:v>0.24770040811564192</c:v>
                </c:pt>
                <c:pt idx="2">
                  <c:v>0.19141824912580857</c:v>
                </c:pt>
                <c:pt idx="3">
                  <c:v>0.15308718825075457</c:v>
                </c:pt>
                <c:pt idx="4">
                  <c:v>0.12621135374656023</c:v>
                </c:pt>
                <c:pt idx="5">
                  <c:v>0.10690139833953576</c:v>
                </c:pt>
                <c:pt idx="6">
                  <c:v>9.274226147455232E-2</c:v>
                </c:pt>
                <c:pt idx="7">
                  <c:v>8.2183762800961332E-2</c:v>
                </c:pt>
                <c:pt idx="8">
                  <c:v>7.4200497238910354E-2</c:v>
                </c:pt>
                <c:pt idx="9">
                  <c:v>6.8095545890749606E-2</c:v>
                </c:pt>
                <c:pt idx="10">
                  <c:v>6.338360936013597E-2</c:v>
                </c:pt>
                <c:pt idx="11">
                  <c:v>5.9719387397310267E-2</c:v>
                </c:pt>
                <c:pt idx="12">
                  <c:v>5.6852488965179679E-2</c:v>
                </c:pt>
                <c:pt idx="13">
                  <c:v>5.4598321004484113E-2</c:v>
                </c:pt>
                <c:pt idx="14">
                  <c:v>5.2818844558329497E-2</c:v>
                </c:pt>
                <c:pt idx="15">
                  <c:v>5.1409569091514534E-2</c:v>
                </c:pt>
                <c:pt idx="16">
                  <c:v>5.0290579097354182E-2</c:v>
                </c:pt>
                <c:pt idx="17">
                  <c:v>4.9400222616575243E-2</c:v>
                </c:pt>
                <c:pt idx="18">
                  <c:v>4.8690592635559637E-2</c:v>
                </c:pt>
                <c:pt idx="19">
                  <c:v>4.8124239341720054E-2</c:v>
                </c:pt>
              </c:numCache>
            </c:numRef>
          </c:val>
          <c:smooth val="0"/>
          <c:extLst>
            <c:ext xmlns:c16="http://schemas.microsoft.com/office/drawing/2014/chart" uri="{C3380CC4-5D6E-409C-BE32-E72D297353CC}">
              <c16:uniqueId val="{00000002-2878-4CFF-BA9C-E23CC975CD5F}"/>
            </c:ext>
          </c:extLst>
        </c:ser>
        <c:ser>
          <c:idx val="4"/>
          <c:order val="3"/>
          <c:tx>
            <c:strRef>
              <c:f>Summary_NewMvector!$H$77</c:f>
              <c:strCache>
                <c:ptCount val="1"/>
                <c:pt idx="0">
                  <c:v>SBT 50%</c:v>
                </c:pt>
              </c:strCache>
            </c:strRef>
          </c:tx>
          <c:spPr>
            <a:ln w="25400" cap="rnd">
              <a:solidFill>
                <a:schemeClr val="accent1"/>
              </a:solidFill>
              <a:round/>
            </a:ln>
            <a:effectLst/>
          </c:spPr>
          <c:marker>
            <c:symbol val="none"/>
          </c:marker>
          <c:cat>
            <c:numRef>
              <c:f>Summary_NewMvector!$C$78:$C$97</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Summary_NewMvector!$H$78:$H$97</c:f>
              <c:numCache>
                <c:formatCode>General</c:formatCode>
                <c:ptCount val="20"/>
                <c:pt idx="0">
                  <c:v>0.4</c:v>
                </c:pt>
                <c:pt idx="1">
                  <c:v>0.4</c:v>
                </c:pt>
                <c:pt idx="2">
                  <c:v>0.248144</c:v>
                </c:pt>
                <c:pt idx="3">
                  <c:v>0.207649</c:v>
                </c:pt>
                <c:pt idx="4">
                  <c:v>0.17752699999999999</c:v>
                </c:pt>
                <c:pt idx="5">
                  <c:v>0.15246399999999999</c:v>
                </c:pt>
                <c:pt idx="6">
                  <c:v>0.13342399999999999</c:v>
                </c:pt>
                <c:pt idx="7">
                  <c:v>0.114909</c:v>
                </c:pt>
                <c:pt idx="8">
                  <c:v>9.9388000000000004E-2</c:v>
                </c:pt>
                <c:pt idx="9">
                  <c:v>8.6634199999999995E-2</c:v>
                </c:pt>
                <c:pt idx="10">
                  <c:v>7.4999999999999997E-2</c:v>
                </c:pt>
                <c:pt idx="11">
                  <c:v>7.4999999999999997E-2</c:v>
                </c:pt>
                <c:pt idx="12">
                  <c:v>7.4999999999999997E-2</c:v>
                </c:pt>
                <c:pt idx="13">
                  <c:v>7.4999999999999997E-2</c:v>
                </c:pt>
                <c:pt idx="14">
                  <c:v>7.4999999999999997E-2</c:v>
                </c:pt>
                <c:pt idx="15">
                  <c:v>7.4999999999999997E-2</c:v>
                </c:pt>
                <c:pt idx="16">
                  <c:v>7.4999999999999997E-2</c:v>
                </c:pt>
                <c:pt idx="17">
                  <c:v>7.4999999999999997E-2</c:v>
                </c:pt>
                <c:pt idx="18">
                  <c:v>7.4999999999999997E-2</c:v>
                </c:pt>
                <c:pt idx="19">
                  <c:v>7.4999999999999997E-2</c:v>
                </c:pt>
              </c:numCache>
            </c:numRef>
          </c:val>
          <c:smooth val="0"/>
          <c:extLst>
            <c:ext xmlns:c16="http://schemas.microsoft.com/office/drawing/2014/chart" uri="{C3380CC4-5D6E-409C-BE32-E72D297353CC}">
              <c16:uniqueId val="{00000004-2878-4CFF-BA9C-E23CC975CD5F}"/>
            </c:ext>
          </c:extLst>
        </c:ser>
        <c:ser>
          <c:idx val="5"/>
          <c:order val="4"/>
          <c:tx>
            <c:strRef>
              <c:f>Summary_NewMvector!$I$77</c:f>
              <c:strCache>
                <c:ptCount val="1"/>
                <c:pt idx="0">
                  <c:v>SBT 10%</c:v>
                </c:pt>
              </c:strCache>
            </c:strRef>
          </c:tx>
          <c:spPr>
            <a:ln w="19050" cap="rnd">
              <a:solidFill>
                <a:schemeClr val="accent1"/>
              </a:solidFill>
              <a:prstDash val="sysDot"/>
              <a:round/>
            </a:ln>
            <a:effectLst/>
          </c:spPr>
          <c:marker>
            <c:symbol val="none"/>
          </c:marker>
          <c:cat>
            <c:numRef>
              <c:f>Summary_NewMvector!$C$78:$C$97</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Summary_NewMvector!$I$78:$I$97</c:f>
              <c:numCache>
                <c:formatCode>General</c:formatCode>
                <c:ptCount val="20"/>
                <c:pt idx="0">
                  <c:v>0.35</c:v>
                </c:pt>
                <c:pt idx="1">
                  <c:v>0.35</c:v>
                </c:pt>
                <c:pt idx="2">
                  <c:v>0.205399</c:v>
                </c:pt>
                <c:pt idx="3">
                  <c:v>0.17612800000000001</c:v>
                </c:pt>
                <c:pt idx="4">
                  <c:v>0.15754599999999999</c:v>
                </c:pt>
                <c:pt idx="5">
                  <c:v>0.143515</c:v>
                </c:pt>
                <c:pt idx="6">
                  <c:v>0.12710299999999999</c:v>
                </c:pt>
                <c:pt idx="7">
                  <c:v>0.10568</c:v>
                </c:pt>
                <c:pt idx="8">
                  <c:v>8.5488300000000003E-2</c:v>
                </c:pt>
                <c:pt idx="9">
                  <c:v>6.7087900000000006E-2</c:v>
                </c:pt>
                <c:pt idx="10">
                  <c:v>0.05</c:v>
                </c:pt>
                <c:pt idx="11">
                  <c:v>0.05</c:v>
                </c:pt>
                <c:pt idx="12">
                  <c:v>0.05</c:v>
                </c:pt>
                <c:pt idx="13">
                  <c:v>0.05</c:v>
                </c:pt>
                <c:pt idx="14">
                  <c:v>0.05</c:v>
                </c:pt>
                <c:pt idx="15">
                  <c:v>0.05</c:v>
                </c:pt>
                <c:pt idx="16">
                  <c:v>0.05</c:v>
                </c:pt>
                <c:pt idx="17">
                  <c:v>0.05</c:v>
                </c:pt>
                <c:pt idx="18">
                  <c:v>0.05</c:v>
                </c:pt>
                <c:pt idx="19">
                  <c:v>0.05</c:v>
                </c:pt>
              </c:numCache>
            </c:numRef>
          </c:val>
          <c:smooth val="0"/>
          <c:extLst>
            <c:ext xmlns:c16="http://schemas.microsoft.com/office/drawing/2014/chart" uri="{C3380CC4-5D6E-409C-BE32-E72D297353CC}">
              <c16:uniqueId val="{00000005-2878-4CFF-BA9C-E23CC975CD5F}"/>
            </c:ext>
          </c:extLst>
        </c:ser>
        <c:ser>
          <c:idx val="6"/>
          <c:order val="5"/>
          <c:tx>
            <c:strRef>
              <c:f>Summary_NewMvector!$J$77</c:f>
              <c:strCache>
                <c:ptCount val="1"/>
                <c:pt idx="0">
                  <c:v>SBT 90%</c:v>
                </c:pt>
              </c:strCache>
            </c:strRef>
          </c:tx>
          <c:spPr>
            <a:ln w="22225" cap="rnd">
              <a:solidFill>
                <a:schemeClr val="accent1"/>
              </a:solidFill>
              <a:prstDash val="sysDot"/>
              <a:round/>
            </a:ln>
            <a:effectLst/>
          </c:spPr>
          <c:marker>
            <c:symbol val="none"/>
          </c:marker>
          <c:cat>
            <c:numRef>
              <c:f>Summary_NewMvector!$C$78:$C$97</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Summary_NewMvector!$J$78:$J$97</c:f>
              <c:numCache>
                <c:formatCode>General</c:formatCode>
                <c:ptCount val="20"/>
                <c:pt idx="0">
                  <c:v>0.5</c:v>
                </c:pt>
                <c:pt idx="1">
                  <c:v>0.5</c:v>
                </c:pt>
                <c:pt idx="2">
                  <c:v>0.27484599999999998</c:v>
                </c:pt>
                <c:pt idx="3">
                  <c:v>0.22822300000000001</c:v>
                </c:pt>
                <c:pt idx="4">
                  <c:v>0.19189000000000001</c:v>
                </c:pt>
                <c:pt idx="5">
                  <c:v>0.16217899999999999</c:v>
                </c:pt>
                <c:pt idx="6">
                  <c:v>0.14039460000000001</c:v>
                </c:pt>
                <c:pt idx="7">
                  <c:v>0.126945</c:v>
                </c:pt>
                <c:pt idx="8">
                  <c:v>0.11699900000000001</c:v>
                </c:pt>
                <c:pt idx="9">
                  <c:v>0.10809000000000001</c:v>
                </c:pt>
                <c:pt idx="10">
                  <c:v>0.1</c:v>
                </c:pt>
                <c:pt idx="11">
                  <c:v>0.1</c:v>
                </c:pt>
                <c:pt idx="12">
                  <c:v>0.1</c:v>
                </c:pt>
                <c:pt idx="13">
                  <c:v>0.1</c:v>
                </c:pt>
                <c:pt idx="14">
                  <c:v>0.1</c:v>
                </c:pt>
                <c:pt idx="15">
                  <c:v>0.1</c:v>
                </c:pt>
                <c:pt idx="16">
                  <c:v>0.1</c:v>
                </c:pt>
                <c:pt idx="17">
                  <c:v>0.1</c:v>
                </c:pt>
                <c:pt idx="18">
                  <c:v>0.1</c:v>
                </c:pt>
                <c:pt idx="19">
                  <c:v>0.1</c:v>
                </c:pt>
              </c:numCache>
            </c:numRef>
          </c:val>
          <c:smooth val="0"/>
          <c:extLst>
            <c:ext xmlns:c16="http://schemas.microsoft.com/office/drawing/2014/chart" uri="{C3380CC4-5D6E-409C-BE32-E72D297353CC}">
              <c16:uniqueId val="{00000006-2878-4CFF-BA9C-E23CC975CD5F}"/>
            </c:ext>
          </c:extLst>
        </c:ser>
        <c:dLbls>
          <c:showLegendKey val="0"/>
          <c:showVal val="0"/>
          <c:showCatName val="0"/>
          <c:showSerName val="0"/>
          <c:showPercent val="0"/>
          <c:showBubbleSize val="0"/>
        </c:dLbls>
        <c:smooth val="0"/>
        <c:axId val="593812112"/>
        <c:axId val="593853112"/>
      </c:lineChart>
      <c:catAx>
        <c:axId val="59381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Age</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3853112"/>
        <c:crosses val="autoZero"/>
        <c:auto val="1"/>
        <c:lblAlgn val="ctr"/>
        <c:lblOffset val="100"/>
        <c:noMultiLvlLbl val="0"/>
      </c:catAx>
      <c:valAx>
        <c:axId val="593853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M</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93812112"/>
        <c:crosses val="autoZero"/>
        <c:crossBetween val="between"/>
      </c:valAx>
      <c:spPr>
        <a:noFill/>
        <a:ln>
          <a:noFill/>
        </a:ln>
        <a:effectLst/>
      </c:spPr>
    </c:plotArea>
    <c:legend>
      <c:legendPos val="r"/>
      <c:layout>
        <c:manualLayout>
          <c:xMode val="edge"/>
          <c:yMode val="edge"/>
          <c:x val="0.64189695466148911"/>
          <c:y val="0.18895203316976683"/>
          <c:w val="0.24648457755565942"/>
          <c:h val="0.3260892388451443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LorMRichards_0.1!$C$12:$C$47</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LorMRichards_0.1!$D$12:$D$47</c:f>
              <c:numCache>
                <c:formatCode>0.00</c:formatCode>
                <c:ptCount val="36"/>
                <c:pt idx="0">
                  <c:v>35.36307336354951</c:v>
                </c:pt>
                <c:pt idx="1">
                  <c:v>50.922390551120031</c:v>
                </c:pt>
                <c:pt idx="2">
                  <c:v>69.05655494855786</c:v>
                </c:pt>
                <c:pt idx="3">
                  <c:v>88.917611017318748</c:v>
                </c:pt>
                <c:pt idx="4">
                  <c:v>109.53793064983296</c:v>
                </c:pt>
                <c:pt idx="5">
                  <c:v>129.99604685270532</c:v>
                </c:pt>
                <c:pt idx="6">
                  <c:v>149.53238717968014</c:v>
                </c:pt>
                <c:pt idx="7">
                  <c:v>167.60322237099862</c:v>
                </c:pt>
                <c:pt idx="8">
                  <c:v>183.88290716193168</c:v>
                </c:pt>
                <c:pt idx="9">
                  <c:v>198.2334947051672</c:v>
                </c:pt>
                <c:pt idx="10">
                  <c:v>210.66011566192304</c:v>
                </c:pt>
                <c:pt idx="11">
                  <c:v>221.26528627493616</c:v>
                </c:pt>
                <c:pt idx="12">
                  <c:v>230.20947061321465</c:v>
                </c:pt>
                <c:pt idx="13">
                  <c:v>237.68068644881029</c:v>
                </c:pt>
                <c:pt idx="14">
                  <c:v>243.87314265619261</c:v>
                </c:pt>
                <c:pt idx="15">
                  <c:v>248.97353047749453</c:v>
                </c:pt>
                <c:pt idx="16">
                  <c:v>253.15316757529988</c:v>
                </c:pt>
                <c:pt idx="17">
                  <c:v>256.56428075813568</c:v>
                </c:pt>
                <c:pt idx="18">
                  <c:v>259.33901586017458</c:v>
                </c:pt>
                <c:pt idx="19">
                  <c:v>261.59011221185176</c:v>
                </c:pt>
                <c:pt idx="20">
                  <c:v>263.41249326469494</c:v>
                </c:pt>
                <c:pt idx="21">
                  <c:v>264.88527549781969</c:v>
                </c:pt>
                <c:pt idx="22">
                  <c:v>266.073882940705</c:v>
                </c:pt>
                <c:pt idx="23">
                  <c:v>267.03208408248298</c:v>
                </c:pt>
                <c:pt idx="24">
                  <c:v>267.80385423457824</c:v>
                </c:pt>
                <c:pt idx="25">
                  <c:v>268.42502139586395</c:v>
                </c:pt>
                <c:pt idx="26">
                  <c:v>268.92468696407281</c:v>
                </c:pt>
                <c:pt idx="27">
                  <c:v>269.3264314868332</c:v>
                </c:pt>
                <c:pt idx="28">
                  <c:v>269.64932522084746</c:v>
                </c:pt>
                <c:pt idx="29">
                  <c:v>269.90876711736149</c:v>
                </c:pt>
                <c:pt idx="30">
                  <c:v>270.11717633436456</c:v>
                </c:pt>
                <c:pt idx="31">
                  <c:v>270.28455901120424</c:v>
                </c:pt>
                <c:pt idx="32">
                  <c:v>270.41897077959641</c:v>
                </c:pt>
                <c:pt idx="33">
                  <c:v>270.5268928986805</c:v>
                </c:pt>
                <c:pt idx="34">
                  <c:v>270.61353731896639</c:v>
                </c:pt>
                <c:pt idx="35">
                  <c:v>270.68309357513044</c:v>
                </c:pt>
              </c:numCache>
            </c:numRef>
          </c:yVal>
          <c:smooth val="0"/>
          <c:extLst>
            <c:ext xmlns:c16="http://schemas.microsoft.com/office/drawing/2014/chart" uri="{C3380CC4-5D6E-409C-BE32-E72D297353CC}">
              <c16:uniqueId val="{00000000-4DB8-44C5-9F2E-17969732D04B}"/>
            </c:ext>
          </c:extLst>
        </c:ser>
        <c:dLbls>
          <c:showLegendKey val="0"/>
          <c:showVal val="0"/>
          <c:showCatName val="0"/>
          <c:showSerName val="0"/>
          <c:showPercent val="0"/>
          <c:showBubbleSize val="0"/>
        </c:dLbls>
        <c:axId val="421825744"/>
        <c:axId val="421824624"/>
      </c:scatterChart>
      <c:valAx>
        <c:axId val="421825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1824624"/>
        <c:crosses val="autoZero"/>
        <c:crossBetween val="midCat"/>
      </c:valAx>
      <c:valAx>
        <c:axId val="421824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182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134258259934561"/>
          <c:y val="0.11296356760715821"/>
          <c:w val="0.84602733014538534"/>
          <c:h val="0.7825900759334633"/>
        </c:manualLayout>
      </c:layout>
      <c:scatterChart>
        <c:scatterStyle val="lineMarker"/>
        <c:varyColors val="0"/>
        <c:ser>
          <c:idx val="0"/>
          <c:order val="0"/>
          <c:tx>
            <c:v>LorenzenM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LorMRichards_0.1!$C$12:$C$37</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LorMRichards_0.1!$J$12:$J$37</c:f>
              <c:numCache>
                <c:formatCode>0.000</c:formatCode>
                <c:ptCount val="26"/>
                <c:pt idx="0">
                  <c:v>0.51847828416948061</c:v>
                </c:pt>
                <c:pt idx="1">
                  <c:v>0.38322347910911508</c:v>
                </c:pt>
                <c:pt idx="2">
                  <c:v>0.29770040811564191</c:v>
                </c:pt>
                <c:pt idx="3">
                  <c:v>0.24141824912580856</c:v>
                </c:pt>
                <c:pt idx="4">
                  <c:v>0.20308718825075456</c:v>
                </c:pt>
                <c:pt idx="5">
                  <c:v>0.17621135374656022</c:v>
                </c:pt>
                <c:pt idx="6">
                  <c:v>0.15690139833953576</c:v>
                </c:pt>
                <c:pt idx="7">
                  <c:v>0.14274226147455232</c:v>
                </c:pt>
                <c:pt idx="8">
                  <c:v>0.13218376280096134</c:v>
                </c:pt>
                <c:pt idx="9">
                  <c:v>0.12420049723891036</c:v>
                </c:pt>
                <c:pt idx="10">
                  <c:v>0.11809554589074961</c:v>
                </c:pt>
                <c:pt idx="11">
                  <c:v>0.11338360936013597</c:v>
                </c:pt>
                <c:pt idx="12">
                  <c:v>0.10971938739731027</c:v>
                </c:pt>
                <c:pt idx="13">
                  <c:v>0.10685248896517968</c:v>
                </c:pt>
                <c:pt idx="14">
                  <c:v>0.10459832100448412</c:v>
                </c:pt>
                <c:pt idx="15">
                  <c:v>0.1028188445583295</c:v>
                </c:pt>
                <c:pt idx="16">
                  <c:v>0.10140956909151454</c:v>
                </c:pt>
                <c:pt idx="17">
                  <c:v>0.10029057909735418</c:v>
                </c:pt>
                <c:pt idx="18">
                  <c:v>9.9400222616575246E-2</c:v>
                </c:pt>
                <c:pt idx="19">
                  <c:v>9.869059263555964E-2</c:v>
                </c:pt>
                <c:pt idx="20">
                  <c:v>9.8124239341720057E-2</c:v>
                </c:pt>
                <c:pt idx="21">
                  <c:v>9.7671742850294715E-2</c:v>
                </c:pt>
                <c:pt idx="22">
                  <c:v>9.7309897825971423E-2</c:v>
                </c:pt>
                <c:pt idx="23">
                  <c:v>9.7020340206219594E-2</c:v>
                </c:pt>
                <c:pt idx="24">
                  <c:v>9.6788498055171007E-2</c:v>
                </c:pt>
                <c:pt idx="25">
                  <c:v>9.6602783230983105E-2</c:v>
                </c:pt>
              </c:numCache>
            </c:numRef>
          </c:yVal>
          <c:smooth val="0"/>
          <c:extLst>
            <c:ext xmlns:c16="http://schemas.microsoft.com/office/drawing/2014/chart" uri="{C3380CC4-5D6E-409C-BE32-E72D297353CC}">
              <c16:uniqueId val="{00000000-9BAB-4D14-90E3-2AAF2854835F}"/>
            </c:ext>
          </c:extLst>
        </c:ser>
        <c:ser>
          <c:idx val="1"/>
          <c:order val="1"/>
          <c:tx>
            <c:strRef>
              <c:f>LorMRichards_0.1!$W$11</c:f>
              <c:strCache>
                <c:ptCount val="1"/>
                <c:pt idx="0">
                  <c:v>WBFT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LorMRichards_0.1!$V$13:$V$37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LorMRichards_0.1!$W$13:$W$37</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1-9BAB-4D14-90E3-2AAF2854835F}"/>
            </c:ext>
          </c:extLst>
        </c:ser>
        <c:ser>
          <c:idx val="2"/>
          <c:order val="2"/>
          <c:tx>
            <c:strRef>
              <c:f>LorMRichards_0.1!$X$11</c:f>
              <c:strCache>
                <c:ptCount val="1"/>
                <c:pt idx="0">
                  <c:v>EBFT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LorMRichards_0.1!$V$13:$V$37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LorMRichards_0.1!$X$13:$X$37</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2-9BAB-4D14-90E3-2AAF2854835F}"/>
            </c:ext>
          </c:extLst>
        </c:ser>
        <c:dLbls>
          <c:showLegendKey val="0"/>
          <c:showVal val="0"/>
          <c:showCatName val="0"/>
          <c:showSerName val="0"/>
          <c:showPercent val="0"/>
          <c:showBubbleSize val="0"/>
        </c:dLbls>
        <c:axId val="470288672"/>
        <c:axId val="470289232"/>
      </c:scatterChart>
      <c:valAx>
        <c:axId val="47028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0289232"/>
        <c:crosses val="autoZero"/>
        <c:crossBetween val="midCat"/>
      </c:valAx>
      <c:valAx>
        <c:axId val="470289232"/>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0288672"/>
        <c:crosses val="autoZero"/>
        <c:crossBetween val="midCat"/>
      </c:valAx>
      <c:spPr>
        <a:noFill/>
        <a:ln>
          <a:noFill/>
        </a:ln>
        <a:effectLst/>
      </c:spPr>
    </c:plotArea>
    <c:legend>
      <c:legendPos val="r"/>
      <c:layout>
        <c:manualLayout>
          <c:xMode val="edge"/>
          <c:yMode val="edge"/>
          <c:x val="0.49421460720069305"/>
          <c:y val="0.22865476986867722"/>
          <c:w val="0.15448754237230336"/>
          <c:h val="0.17763287128964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LorMRichards!$C$12:$C$47</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LorMRichards!$D$12:$D$47</c:f>
              <c:numCache>
                <c:formatCode>0.00</c:formatCode>
                <c:ptCount val="36"/>
                <c:pt idx="0">
                  <c:v>35.36307336354951</c:v>
                </c:pt>
                <c:pt idx="1">
                  <c:v>50.922390551120031</c:v>
                </c:pt>
                <c:pt idx="2">
                  <c:v>69.05655494855786</c:v>
                </c:pt>
                <c:pt idx="3">
                  <c:v>88.917611017318748</c:v>
                </c:pt>
                <c:pt idx="4">
                  <c:v>109.53793064983296</c:v>
                </c:pt>
                <c:pt idx="5">
                  <c:v>129.99604685270532</c:v>
                </c:pt>
                <c:pt idx="6">
                  <c:v>149.53238717968014</c:v>
                </c:pt>
                <c:pt idx="7">
                  <c:v>167.60322237099862</c:v>
                </c:pt>
                <c:pt idx="8">
                  <c:v>183.88290716193168</c:v>
                </c:pt>
                <c:pt idx="9">
                  <c:v>198.2334947051672</c:v>
                </c:pt>
                <c:pt idx="10">
                  <c:v>210.66011566192304</c:v>
                </c:pt>
                <c:pt idx="11">
                  <c:v>221.26528627493616</c:v>
                </c:pt>
                <c:pt idx="12">
                  <c:v>230.20947061321465</c:v>
                </c:pt>
                <c:pt idx="13">
                  <c:v>237.68068644881029</c:v>
                </c:pt>
                <c:pt idx="14">
                  <c:v>243.87314265619261</c:v>
                </c:pt>
                <c:pt idx="15">
                  <c:v>248.97353047749453</c:v>
                </c:pt>
                <c:pt idx="16">
                  <c:v>253.15316757529988</c:v>
                </c:pt>
                <c:pt idx="17">
                  <c:v>256.56428075813568</c:v>
                </c:pt>
                <c:pt idx="18">
                  <c:v>259.33901586017458</c:v>
                </c:pt>
                <c:pt idx="19">
                  <c:v>261.59011221185176</c:v>
                </c:pt>
                <c:pt idx="20">
                  <c:v>263.41249326469494</c:v>
                </c:pt>
                <c:pt idx="21">
                  <c:v>264.88527549781969</c:v>
                </c:pt>
                <c:pt idx="22">
                  <c:v>266.073882940705</c:v>
                </c:pt>
                <c:pt idx="23">
                  <c:v>267.03208408248298</c:v>
                </c:pt>
                <c:pt idx="24">
                  <c:v>267.80385423457824</c:v>
                </c:pt>
                <c:pt idx="25">
                  <c:v>268.42502139586395</c:v>
                </c:pt>
                <c:pt idx="26">
                  <c:v>268.92468696407281</c:v>
                </c:pt>
                <c:pt idx="27">
                  <c:v>269.3264314868332</c:v>
                </c:pt>
                <c:pt idx="28">
                  <c:v>269.64932522084746</c:v>
                </c:pt>
                <c:pt idx="29">
                  <c:v>269.90876711736149</c:v>
                </c:pt>
                <c:pt idx="30">
                  <c:v>270.11717633436456</c:v>
                </c:pt>
                <c:pt idx="31">
                  <c:v>270.28455901120424</c:v>
                </c:pt>
                <c:pt idx="32">
                  <c:v>270.41897077959641</c:v>
                </c:pt>
                <c:pt idx="33">
                  <c:v>270.5268928986805</c:v>
                </c:pt>
                <c:pt idx="34">
                  <c:v>270.61353731896639</c:v>
                </c:pt>
                <c:pt idx="35">
                  <c:v>270.68309357513044</c:v>
                </c:pt>
              </c:numCache>
            </c:numRef>
          </c:yVal>
          <c:smooth val="0"/>
          <c:extLst>
            <c:ext xmlns:c16="http://schemas.microsoft.com/office/drawing/2014/chart" uri="{C3380CC4-5D6E-409C-BE32-E72D297353CC}">
              <c16:uniqueId val="{00000000-97D2-43B2-9733-DE1F5CB86CC7}"/>
            </c:ext>
          </c:extLst>
        </c:ser>
        <c:dLbls>
          <c:showLegendKey val="0"/>
          <c:showVal val="0"/>
          <c:showCatName val="0"/>
          <c:showSerName val="0"/>
          <c:showPercent val="0"/>
          <c:showBubbleSize val="0"/>
        </c:dLbls>
        <c:axId val="421825744"/>
        <c:axId val="421824624"/>
      </c:scatterChart>
      <c:valAx>
        <c:axId val="421825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1824624"/>
        <c:crosses val="autoZero"/>
        <c:crossBetween val="midCat"/>
      </c:valAx>
      <c:valAx>
        <c:axId val="421824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182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134258259934561"/>
          <c:y val="0.11296356760715821"/>
          <c:w val="0.84602733014538534"/>
          <c:h val="0.7825900759334633"/>
        </c:manualLayout>
      </c:layout>
      <c:scatterChart>
        <c:scatterStyle val="lineMarker"/>
        <c:varyColors val="0"/>
        <c:ser>
          <c:idx val="0"/>
          <c:order val="0"/>
          <c:tx>
            <c:v>LorenzenM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LorMRichards!$C$12:$C$37</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LorMRichards!$J$12:$J$37</c:f>
              <c:numCache>
                <c:formatCode>0.00000</c:formatCode>
                <c:ptCount val="26"/>
                <c:pt idx="0">
                  <c:v>0.88550728086715602</c:v>
                </c:pt>
                <c:pt idx="1">
                  <c:v>0.65450606382472465</c:v>
                </c:pt>
                <c:pt idx="2">
                  <c:v>0.50844150459608017</c:v>
                </c:pt>
                <c:pt idx="3">
                  <c:v>0.41231739855323346</c:v>
                </c:pt>
                <c:pt idx="4">
                  <c:v>0.34685191132922588</c:v>
                </c:pt>
                <c:pt idx="5">
                  <c:v>0.30095076588208997</c:v>
                </c:pt>
                <c:pt idx="6">
                  <c:v>0.26797135936069566</c:v>
                </c:pt>
                <c:pt idx="7">
                  <c:v>0.24378901813724155</c:v>
                </c:pt>
                <c:pt idx="8">
                  <c:v>0.22575619451480652</c:v>
                </c:pt>
                <c:pt idx="9">
                  <c:v>0.21212160267916969</c:v>
                </c:pt>
                <c:pt idx="10">
                  <c:v>0.20169497723853894</c:v>
                </c:pt>
                <c:pt idx="11">
                  <c:v>0.1936474770206158</c:v>
                </c:pt>
                <c:pt idx="12">
                  <c:v>0.18738936491473857</c:v>
                </c:pt>
                <c:pt idx="13">
                  <c:v>0.18249299892860124</c:v>
                </c:pt>
                <c:pt idx="14">
                  <c:v>0.17864311321026149</c:v>
                </c:pt>
                <c:pt idx="15">
                  <c:v>0.17560395149932193</c:v>
                </c:pt>
                <c:pt idx="16">
                  <c:v>0.17319705476957542</c:v>
                </c:pt>
                <c:pt idx="17">
                  <c:v>0.17128593560161698</c:v>
                </c:pt>
                <c:pt idx="18">
                  <c:v>0.16976529882594193</c:v>
                </c:pt>
                <c:pt idx="19">
                  <c:v>0.16855332421852418</c:v>
                </c:pt>
                <c:pt idx="20">
                  <c:v>0.16758605137306379</c:v>
                </c:pt>
                <c:pt idx="21">
                  <c:v>0.16681323416941596</c:v>
                </c:pt>
                <c:pt idx="22">
                  <c:v>0.16619524029509761</c:v>
                </c:pt>
                <c:pt idx="23">
                  <c:v>0.16570070583078242</c:v>
                </c:pt>
                <c:pt idx="24">
                  <c:v>0.16530474341724705</c:v>
                </c:pt>
                <c:pt idx="25">
                  <c:v>0.16498756170683695</c:v>
                </c:pt>
              </c:numCache>
            </c:numRef>
          </c:yVal>
          <c:smooth val="0"/>
          <c:extLst>
            <c:ext xmlns:c16="http://schemas.microsoft.com/office/drawing/2014/chart" uri="{C3380CC4-5D6E-409C-BE32-E72D297353CC}">
              <c16:uniqueId val="{00000000-31C3-4461-9DEA-1D59579B363A}"/>
            </c:ext>
          </c:extLst>
        </c:ser>
        <c:ser>
          <c:idx val="1"/>
          <c:order val="1"/>
          <c:tx>
            <c:strRef>
              <c:f>LorMRichards!$W$11</c:f>
              <c:strCache>
                <c:ptCount val="1"/>
                <c:pt idx="0">
                  <c:v>WBFT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LorMRichards!$V$13:$V$37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LorMRichards!$W$13:$W$37</c:f>
              <c:numCache>
                <c:formatCode>General</c:formatCode>
                <c:ptCount val="25"/>
                <c:pt idx="0">
                  <c:v>0.14000000000000001</c:v>
                </c:pt>
                <c:pt idx="1">
                  <c:v>0.14000000000000001</c:v>
                </c:pt>
                <c:pt idx="2">
                  <c:v>0.14000000000000001</c:v>
                </c:pt>
                <c:pt idx="3">
                  <c:v>0.14000000000000001</c:v>
                </c:pt>
                <c:pt idx="4">
                  <c:v>0.14000000000000001</c:v>
                </c:pt>
                <c:pt idx="5">
                  <c:v>0.14000000000000001</c:v>
                </c:pt>
                <c:pt idx="6">
                  <c:v>0.14000000000000001</c:v>
                </c:pt>
                <c:pt idx="7">
                  <c:v>0.14000000000000001</c:v>
                </c:pt>
                <c:pt idx="8">
                  <c:v>0.14000000000000001</c:v>
                </c:pt>
                <c:pt idx="9">
                  <c:v>0.14000000000000001</c:v>
                </c:pt>
                <c:pt idx="10">
                  <c:v>0.14000000000000001</c:v>
                </c:pt>
                <c:pt idx="11">
                  <c:v>0.14000000000000001</c:v>
                </c:pt>
                <c:pt idx="12">
                  <c:v>0.14000000000000001</c:v>
                </c:pt>
                <c:pt idx="13">
                  <c:v>0.14000000000000001</c:v>
                </c:pt>
                <c:pt idx="14">
                  <c:v>0.14000000000000001</c:v>
                </c:pt>
                <c:pt idx="15">
                  <c:v>0.14000000000000001</c:v>
                </c:pt>
                <c:pt idx="16">
                  <c:v>0.14000000000000001</c:v>
                </c:pt>
                <c:pt idx="17">
                  <c:v>0.14000000000000001</c:v>
                </c:pt>
                <c:pt idx="18">
                  <c:v>0.14000000000000001</c:v>
                </c:pt>
                <c:pt idx="19">
                  <c:v>0.14000000000000001</c:v>
                </c:pt>
                <c:pt idx="20">
                  <c:v>0.14000000000000001</c:v>
                </c:pt>
                <c:pt idx="21">
                  <c:v>0.14000000000000001</c:v>
                </c:pt>
                <c:pt idx="22">
                  <c:v>0.14000000000000001</c:v>
                </c:pt>
                <c:pt idx="23">
                  <c:v>0.14000000000000001</c:v>
                </c:pt>
                <c:pt idx="24">
                  <c:v>0.14000000000000001</c:v>
                </c:pt>
              </c:numCache>
            </c:numRef>
          </c:yVal>
          <c:smooth val="0"/>
          <c:extLst>
            <c:ext xmlns:c16="http://schemas.microsoft.com/office/drawing/2014/chart" uri="{C3380CC4-5D6E-409C-BE32-E72D297353CC}">
              <c16:uniqueId val="{00000001-31C3-4461-9DEA-1D59579B363A}"/>
            </c:ext>
          </c:extLst>
        </c:ser>
        <c:ser>
          <c:idx val="2"/>
          <c:order val="2"/>
          <c:tx>
            <c:strRef>
              <c:f>LorMRichards!$X$11</c:f>
              <c:strCache>
                <c:ptCount val="1"/>
                <c:pt idx="0">
                  <c:v>EBFT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LorMRichards!$V$13:$V$37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LorMRichards!$X$13:$X$37</c:f>
              <c:numCache>
                <c:formatCode>General</c:formatCode>
                <c:ptCount val="25"/>
                <c:pt idx="0">
                  <c:v>0.49</c:v>
                </c:pt>
                <c:pt idx="1">
                  <c:v>0.24</c:v>
                </c:pt>
                <c:pt idx="2">
                  <c:v>0.24</c:v>
                </c:pt>
                <c:pt idx="3">
                  <c:v>0.24</c:v>
                </c:pt>
                <c:pt idx="4">
                  <c:v>0.24</c:v>
                </c:pt>
                <c:pt idx="5">
                  <c:v>0.2</c:v>
                </c:pt>
                <c:pt idx="6">
                  <c:v>0.17499999999999999</c:v>
                </c:pt>
                <c:pt idx="7">
                  <c:v>0.15</c:v>
                </c:pt>
                <c:pt idx="8">
                  <c:v>0.125</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numCache>
            </c:numRef>
          </c:yVal>
          <c:smooth val="0"/>
          <c:extLst>
            <c:ext xmlns:c16="http://schemas.microsoft.com/office/drawing/2014/chart" uri="{C3380CC4-5D6E-409C-BE32-E72D297353CC}">
              <c16:uniqueId val="{00000002-31C3-4461-9DEA-1D59579B363A}"/>
            </c:ext>
          </c:extLst>
        </c:ser>
        <c:dLbls>
          <c:showLegendKey val="0"/>
          <c:showVal val="0"/>
          <c:showCatName val="0"/>
          <c:showSerName val="0"/>
          <c:showPercent val="0"/>
          <c:showBubbleSize val="0"/>
        </c:dLbls>
        <c:axId val="470288672"/>
        <c:axId val="470289232"/>
      </c:scatterChart>
      <c:valAx>
        <c:axId val="47028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0289232"/>
        <c:crosses val="autoZero"/>
        <c:crossBetween val="midCat"/>
      </c:valAx>
      <c:valAx>
        <c:axId val="470289232"/>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0288672"/>
        <c:crosses val="autoZero"/>
        <c:crossBetween val="midCat"/>
      </c:valAx>
      <c:spPr>
        <a:noFill/>
        <a:ln>
          <a:noFill/>
        </a:ln>
        <a:effectLst/>
      </c:spPr>
    </c:plotArea>
    <c:legend>
      <c:legendPos val="r"/>
      <c:layout>
        <c:manualLayout>
          <c:xMode val="edge"/>
          <c:yMode val="edge"/>
          <c:x val="0.49421460720069305"/>
          <c:y val="0.22865476986867722"/>
          <c:w val="0.15448754237230336"/>
          <c:h val="0.17763287128964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LorMRichardsUpper!$C$12:$C$47</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LorMRichardsUpper!$D$12:$D$47</c:f>
              <c:numCache>
                <c:formatCode>0.0</c:formatCode>
                <c:ptCount val="36"/>
                <c:pt idx="0">
                  <c:v>35.36307336354951</c:v>
                </c:pt>
                <c:pt idx="1">
                  <c:v>50.922390551120031</c:v>
                </c:pt>
                <c:pt idx="2">
                  <c:v>69.05655494855786</c:v>
                </c:pt>
                <c:pt idx="3">
                  <c:v>88.917611017318748</c:v>
                </c:pt>
                <c:pt idx="4">
                  <c:v>109.53793064983296</c:v>
                </c:pt>
                <c:pt idx="5">
                  <c:v>129.99604685270532</c:v>
                </c:pt>
                <c:pt idx="6">
                  <c:v>149.53238717968014</c:v>
                </c:pt>
                <c:pt idx="7">
                  <c:v>167.60322237099862</c:v>
                </c:pt>
                <c:pt idx="8">
                  <c:v>183.88290716193168</c:v>
                </c:pt>
                <c:pt idx="9">
                  <c:v>198.2334947051672</c:v>
                </c:pt>
                <c:pt idx="10">
                  <c:v>210.66011566192304</c:v>
                </c:pt>
                <c:pt idx="11">
                  <c:v>221.26528627493616</c:v>
                </c:pt>
                <c:pt idx="12">
                  <c:v>230.20947061321465</c:v>
                </c:pt>
                <c:pt idx="13">
                  <c:v>237.68068644881029</c:v>
                </c:pt>
                <c:pt idx="14">
                  <c:v>243.87314265619261</c:v>
                </c:pt>
                <c:pt idx="15">
                  <c:v>248.97353047749453</c:v>
                </c:pt>
                <c:pt idx="16">
                  <c:v>253.15316757529988</c:v>
                </c:pt>
                <c:pt idx="17">
                  <c:v>256.56428075813568</c:v>
                </c:pt>
                <c:pt idx="18">
                  <c:v>259.33901586017458</c:v>
                </c:pt>
                <c:pt idx="19">
                  <c:v>261.59011221185176</c:v>
                </c:pt>
                <c:pt idx="20">
                  <c:v>263.41249326469494</c:v>
                </c:pt>
                <c:pt idx="21">
                  <c:v>264.88527549781969</c:v>
                </c:pt>
                <c:pt idx="22">
                  <c:v>266.073882940705</c:v>
                </c:pt>
                <c:pt idx="23">
                  <c:v>267.03208408248298</c:v>
                </c:pt>
                <c:pt idx="24">
                  <c:v>267.80385423457824</c:v>
                </c:pt>
                <c:pt idx="25">
                  <c:v>268.42502139586395</c:v>
                </c:pt>
                <c:pt idx="26">
                  <c:v>268.92468696407281</c:v>
                </c:pt>
                <c:pt idx="27">
                  <c:v>269.3264314868332</c:v>
                </c:pt>
                <c:pt idx="28">
                  <c:v>269.64932522084746</c:v>
                </c:pt>
                <c:pt idx="29">
                  <c:v>269.90876711736149</c:v>
                </c:pt>
                <c:pt idx="30">
                  <c:v>270.11717633436456</c:v>
                </c:pt>
                <c:pt idx="31">
                  <c:v>270.28455901120424</c:v>
                </c:pt>
                <c:pt idx="32">
                  <c:v>270.41897077959641</c:v>
                </c:pt>
                <c:pt idx="33">
                  <c:v>270.5268928986805</c:v>
                </c:pt>
                <c:pt idx="34">
                  <c:v>270.61353731896639</c:v>
                </c:pt>
                <c:pt idx="35">
                  <c:v>270.68309357513044</c:v>
                </c:pt>
              </c:numCache>
            </c:numRef>
          </c:yVal>
          <c:smooth val="0"/>
          <c:extLst>
            <c:ext xmlns:c16="http://schemas.microsoft.com/office/drawing/2014/chart" uri="{C3380CC4-5D6E-409C-BE32-E72D297353CC}">
              <c16:uniqueId val="{00000000-0337-48E7-9C16-516052997A4D}"/>
            </c:ext>
          </c:extLst>
        </c:ser>
        <c:dLbls>
          <c:showLegendKey val="0"/>
          <c:showVal val="0"/>
          <c:showCatName val="0"/>
          <c:showSerName val="0"/>
          <c:showPercent val="0"/>
          <c:showBubbleSize val="0"/>
        </c:dLbls>
        <c:axId val="430163872"/>
        <c:axId val="430164432"/>
      </c:scatterChart>
      <c:valAx>
        <c:axId val="43016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164432"/>
        <c:crosses val="autoZero"/>
        <c:crossBetween val="midCat"/>
      </c:valAx>
      <c:valAx>
        <c:axId val="4301644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163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image" Target="../media/image3.emf"/><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16</xdr:col>
      <xdr:colOff>464972</xdr:colOff>
      <xdr:row>72</xdr:row>
      <xdr:rowOff>3274</xdr:rowOff>
    </xdr:from>
    <xdr:to>
      <xdr:col>29</xdr:col>
      <xdr:colOff>550327</xdr:colOff>
      <xdr:row>107</xdr:row>
      <xdr:rowOff>87392</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8804</xdr:colOff>
      <xdr:row>0</xdr:row>
      <xdr:rowOff>0</xdr:rowOff>
    </xdr:from>
    <xdr:to>
      <xdr:col>44</xdr:col>
      <xdr:colOff>148264</xdr:colOff>
      <xdr:row>52</xdr:row>
      <xdr:rowOff>54427</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9276518" y="0"/>
              <a:ext cx="7487317" cy="1011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Cut and paste for report:</a:t>
              </a:r>
            </a:p>
            <a:p>
              <a:endParaRPr lang="en-US" sz="1100"/>
            </a:p>
            <a:p>
              <a:r>
                <a:rPr lang="en-US" sz="1100"/>
                <a:t>A</a:t>
              </a:r>
              <a:r>
                <a:rPr lang="en-US" sz="1100" baseline="0"/>
                <a:t> natural mortality vector was developed using the Lorenzen (2005) approach</a:t>
              </a:r>
              <a:r>
                <a:rPr lang="en-US" sz="1100">
                  <a:solidFill>
                    <a:schemeClr val="dk1"/>
                  </a:solidFill>
                  <a:effectLst/>
                  <a:latin typeface="+mn-lt"/>
                  <a:ea typeface="+mn-ea"/>
                  <a:cs typeface="+mn-cs"/>
                </a:rPr>
                <a:t>where the M at age is scaled as a function of weight at age as follows (Lorenzen 1996):</a:t>
              </a:r>
            </a:p>
            <a:p>
              <a:endParaRPr lang="en-US" sz="1100">
                <a:solidFill>
                  <a:schemeClr val="dk1"/>
                </a:solidFill>
                <a:effectLst/>
                <a:latin typeface="+mn-lt"/>
                <a:ea typeface="+mn-ea"/>
                <a:cs typeface="+mn-cs"/>
              </a:endParaRPr>
            </a:p>
            <a:p>
              <a14:m>
                <m:oMath xmlns:m="http://schemas.openxmlformats.org/officeDocument/2006/math">
                  <m:sSup>
                    <m:sSupPr>
                      <m:ctrlPr>
                        <a:rPr lang="en-US" sz="1100" i="1" u="sng">
                          <a:solidFill>
                            <a:schemeClr val="dk1"/>
                          </a:solidFill>
                          <a:effectLst/>
                          <a:latin typeface="Cambria Math" panose="02040503050406030204" pitchFamily="18" charset="0"/>
                          <a:ea typeface="+mn-ea"/>
                          <a:cs typeface="+mn-cs"/>
                        </a:rPr>
                      </m:ctrlPr>
                    </m:sSupPr>
                    <m:e>
                      <m:sSub>
                        <m:sSubPr>
                          <m:ctrlPr>
                            <a:rPr lang="en-US" sz="1100" i="1" u="sng">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𝐿</m:t>
                          </m:r>
                        </m:e>
                        <m:sub>
                          <m:r>
                            <a:rPr lang="en-US" sz="1100" i="1">
                              <a:solidFill>
                                <a:schemeClr val="dk1"/>
                              </a:solidFill>
                              <a:effectLst/>
                              <a:latin typeface="Cambria Math" panose="02040503050406030204" pitchFamily="18" charset="0"/>
                              <a:ea typeface="+mn-ea"/>
                              <a:cs typeface="+mn-cs"/>
                            </a:rPr>
                            <m:t>𝑖</m:t>
                          </m:r>
                        </m:sub>
                      </m:sSub>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𝑐</m:t>
                      </m:r>
                      <m:sSub>
                        <m:sSubPr>
                          <m:ctrlPr>
                            <a:rPr lang="en-US" sz="1100" i="1" u="sng">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𝑊</m:t>
                          </m:r>
                        </m:e>
                        <m:sub>
                          <m:r>
                            <a:rPr lang="en-US" sz="1100" i="1">
                              <a:solidFill>
                                <a:schemeClr val="dk1"/>
                              </a:solidFill>
                              <a:effectLst/>
                              <a:latin typeface="Cambria Math" panose="02040503050406030204" pitchFamily="18" charset="0"/>
                              <a:ea typeface="+mn-ea"/>
                              <a:cs typeface="+mn-cs"/>
                            </a:rPr>
                            <m:t>𝑖</m:t>
                          </m:r>
                        </m:sub>
                      </m:sSub>
                    </m:e>
                    <m:sup>
                      <m:r>
                        <a:rPr lang="en-US" sz="1100" i="1">
                          <a:solidFill>
                            <a:schemeClr val="dk1"/>
                          </a:solidFill>
                          <a:effectLst/>
                          <a:latin typeface="Cambria Math" panose="02040503050406030204" pitchFamily="18" charset="0"/>
                          <a:ea typeface="+mn-ea"/>
                          <a:cs typeface="+mn-cs"/>
                        </a:rPr>
                        <m:t>𝑑</m:t>
                      </m:r>
                    </m:sup>
                  </m:sSup>
                </m:oMath>
              </a14:m>
              <a:r>
                <a:rPr lang="en-US" sz="1100">
                  <a:solidFill>
                    <a:schemeClr val="dk1"/>
                  </a:solidFill>
                  <a:effectLst/>
                  <a:latin typeface="+mn-lt"/>
                  <a:ea typeface="+mn-ea"/>
                  <a:cs typeface="+mn-cs"/>
                </a:rPr>
                <a:t>		(1)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Where </a:t>
              </a:r>
              <a:r>
                <a:rPr lang="en-US" sz="1100" b="1" i="1">
                  <a:solidFill>
                    <a:schemeClr val="dk1"/>
                  </a:solidFill>
                  <a:effectLst/>
                  <a:latin typeface="+mn-lt"/>
                  <a:ea typeface="+mn-ea"/>
                  <a:cs typeface="+mn-cs"/>
                </a:rPr>
                <a:t>L</a:t>
              </a:r>
              <a:r>
                <a:rPr lang="en-US" sz="1100" b="1" i="1" baseline="-25000">
                  <a:solidFill>
                    <a:schemeClr val="dk1"/>
                  </a:solidFill>
                  <a:effectLst/>
                  <a:latin typeface="+mn-lt"/>
                  <a:ea typeface="+mn-ea"/>
                  <a:cs typeface="+mn-cs"/>
                </a:rPr>
                <a:t>i</a:t>
              </a:r>
              <a:r>
                <a:rPr lang="en-US" sz="1100">
                  <a:solidFill>
                    <a:schemeClr val="dk1"/>
                  </a:solidFill>
                  <a:effectLst/>
                  <a:latin typeface="+mn-lt"/>
                  <a:ea typeface="+mn-ea"/>
                  <a:cs typeface="+mn-cs"/>
                </a:rPr>
                <a:t> and </a:t>
              </a:r>
              <a:r>
                <a:rPr lang="en-US" sz="1100" b="1" i="1">
                  <a:solidFill>
                    <a:schemeClr val="dk1"/>
                  </a:solidFill>
                  <a:effectLst/>
                  <a:latin typeface="+mn-lt"/>
                  <a:ea typeface="+mn-ea"/>
                  <a:cs typeface="+mn-cs"/>
                </a:rPr>
                <a:t>W</a:t>
              </a:r>
              <a:r>
                <a:rPr lang="en-US" sz="1100" b="1" i="1" baseline="-25000">
                  <a:solidFill>
                    <a:schemeClr val="dk1"/>
                  </a:solidFill>
                  <a:effectLst/>
                  <a:latin typeface="+mn-lt"/>
                  <a:ea typeface="+mn-ea"/>
                  <a:cs typeface="+mn-cs"/>
                </a:rPr>
                <a:t>i</a:t>
              </a:r>
              <a:r>
                <a:rPr lang="en-US" sz="1100" b="1" i="1">
                  <a:solidFill>
                    <a:schemeClr val="dk1"/>
                  </a:solidFill>
                  <a:effectLst/>
                  <a:latin typeface="+mn-lt"/>
                  <a:ea typeface="+mn-ea"/>
                  <a:cs typeface="+mn-cs"/>
                </a:rPr>
                <a:t> </a:t>
              </a:r>
              <a:r>
                <a:rPr lang="en-US" sz="1100">
                  <a:solidFill>
                    <a:schemeClr val="dk1"/>
                  </a:solidFill>
                  <a:effectLst/>
                  <a:latin typeface="+mn-lt"/>
                  <a:ea typeface="+mn-ea"/>
                  <a:cs typeface="+mn-cs"/>
                </a:rPr>
                <a:t>are mortality and weight at age, respectively, </a:t>
              </a:r>
              <a:r>
                <a:rPr lang="en-US" sz="1100" b="1" i="1">
                  <a:solidFill>
                    <a:schemeClr val="dk1"/>
                  </a:solidFill>
                  <a:effectLst/>
                  <a:latin typeface="+mn-lt"/>
                  <a:ea typeface="+mn-ea"/>
                  <a:cs typeface="+mn-cs"/>
                </a:rPr>
                <a:t>c</a:t>
              </a:r>
              <a:r>
                <a:rPr lang="en-US" sz="1100">
                  <a:solidFill>
                    <a:schemeClr val="dk1"/>
                  </a:solidFill>
                  <a:effectLst/>
                  <a:latin typeface="+mn-lt"/>
                  <a:ea typeface="+mn-ea"/>
                  <a:cs typeface="+mn-cs"/>
                </a:rPr>
                <a:t> and </a:t>
              </a:r>
              <a:r>
                <a:rPr lang="en-US" sz="1100" b="1" i="1">
                  <a:solidFill>
                    <a:schemeClr val="dk1"/>
                  </a:solidFill>
                  <a:effectLst/>
                  <a:latin typeface="+mn-lt"/>
                  <a:ea typeface="+mn-ea"/>
                  <a:cs typeface="+mn-cs"/>
                </a:rPr>
                <a:t>d</a:t>
              </a:r>
              <a:r>
                <a:rPr lang="en-US" sz="1100">
                  <a:solidFill>
                    <a:schemeClr val="dk1"/>
                  </a:solidFill>
                  <a:effectLst/>
                  <a:latin typeface="+mn-lt"/>
                  <a:ea typeface="+mn-ea"/>
                  <a:cs typeface="+mn-cs"/>
                </a:rPr>
                <a:t> represent constants and exponents obtained by Lorenzen (1996) for all natural systems</a:t>
              </a:r>
              <a:r>
                <a:rPr lang="en-US" sz="1100" baseline="0">
                  <a:solidFill>
                    <a:schemeClr val="dk1"/>
                  </a:solidFill>
                  <a:effectLst/>
                  <a:latin typeface="+mn-lt"/>
                  <a:ea typeface="+mn-ea"/>
                  <a:cs typeface="+mn-cs"/>
                </a:rPr>
                <a:t> of</a:t>
              </a:r>
              <a:r>
                <a:rPr lang="en-US" sz="1100">
                  <a:solidFill>
                    <a:schemeClr val="dk1"/>
                  </a:solidFill>
                  <a:effectLst/>
                  <a:latin typeface="+mn-lt"/>
                  <a:ea typeface="+mn-ea"/>
                  <a:cs typeface="+mn-cs"/>
                </a:rPr>
                <a:t> fish</a:t>
              </a:r>
              <a:r>
                <a:rPr lang="en-US" sz="1100" baseline="0">
                  <a:solidFill>
                    <a:schemeClr val="dk1"/>
                  </a:solidFill>
                  <a:effectLst/>
                  <a:latin typeface="+mn-lt"/>
                  <a:ea typeface="+mn-ea"/>
                  <a:cs typeface="+mn-cs"/>
                </a:rPr>
                <a:t> and are, </a:t>
              </a:r>
              <a:r>
                <a:rPr lang="en-US" sz="1100">
                  <a:solidFill>
                    <a:schemeClr val="dk1"/>
                  </a:solidFill>
                  <a:effectLst/>
                  <a:latin typeface="+mn-lt"/>
                  <a:ea typeface="+mn-ea"/>
                  <a:cs typeface="+mn-cs"/>
                </a:rPr>
                <a:t>3.69 and -0.305, respectively.  </a:t>
              </a:r>
            </a:p>
            <a:p>
              <a:endParaRPr lang="en-US" sz="1100" baseline="0"/>
            </a:p>
            <a:p>
              <a:r>
                <a:rPr lang="en-US" sz="1100">
                  <a:solidFill>
                    <a:schemeClr val="dk1"/>
                  </a:solidFill>
                  <a:effectLst/>
                  <a:latin typeface="+mn-lt"/>
                  <a:ea typeface="+mn-ea"/>
                  <a:cs typeface="+mn-cs"/>
                </a:rPr>
                <a:t>Then the resulting </a:t>
              </a:r>
              <a:r>
                <a:rPr lang="en-US" sz="1100" b="1" i="1">
                  <a:solidFill>
                    <a:schemeClr val="dk1"/>
                  </a:solidFill>
                  <a:effectLst/>
                  <a:latin typeface="+mn-lt"/>
                  <a:ea typeface="+mn-ea"/>
                  <a:cs typeface="+mn-cs"/>
                </a:rPr>
                <a:t>L</a:t>
              </a:r>
              <a:r>
                <a:rPr lang="en-US" sz="1100" b="1" i="1" baseline="-25000">
                  <a:solidFill>
                    <a:schemeClr val="dk1"/>
                  </a:solidFill>
                  <a:effectLst/>
                  <a:latin typeface="+mn-lt"/>
                  <a:ea typeface="+mn-ea"/>
                  <a:cs typeface="+mn-cs"/>
                </a:rPr>
                <a:t>i</a:t>
              </a:r>
              <a:r>
                <a:rPr lang="en-US" sz="1100">
                  <a:solidFill>
                    <a:schemeClr val="dk1"/>
                  </a:solidFill>
                  <a:effectLst/>
                  <a:latin typeface="+mn-lt"/>
                  <a:ea typeface="+mn-ea"/>
                  <a:cs typeface="+mn-cs"/>
                </a:rPr>
                <a:t> vector is scaled so that its average over ages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c</a:t>
              </a:r>
              <a:r>
                <a:rPr lang="en-US" sz="1100">
                  <a:solidFill>
                    <a:schemeClr val="dk1"/>
                  </a:solidFill>
                  <a:effectLst/>
                  <a:latin typeface="+mn-lt"/>
                  <a:ea typeface="+mn-ea"/>
                  <a:cs typeface="+mn-cs"/>
                </a:rPr>
                <a:t> to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max</a:t>
              </a:r>
              <a:r>
                <a:rPr lang="en-US" sz="1100">
                  <a:solidFill>
                    <a:schemeClr val="dk1"/>
                  </a:solidFill>
                  <a:effectLst/>
                  <a:latin typeface="+mn-lt"/>
                  <a:ea typeface="+mn-ea"/>
                  <a:cs typeface="+mn-cs"/>
                </a:rPr>
                <a:t> is equal to the </a:t>
              </a:r>
              <a:r>
                <a:rPr lang="en-US" sz="1100" b="1">
                  <a:solidFill>
                    <a:schemeClr val="dk1"/>
                  </a:solidFill>
                  <a:effectLst/>
                  <a:latin typeface="+mn-lt"/>
                  <a:ea typeface="+mn-ea"/>
                  <a:cs typeface="+mn-cs"/>
                </a:rPr>
                <a:t>Target_M</a:t>
              </a:r>
              <a:r>
                <a:rPr lang="en-US" sz="1100">
                  <a:solidFill>
                    <a:schemeClr val="dk1"/>
                  </a:solidFill>
                  <a:effectLst/>
                  <a:latin typeface="+mn-lt"/>
                  <a:ea typeface="+mn-ea"/>
                  <a:cs typeface="+mn-cs"/>
                </a:rPr>
                <a:t>, originally presented</a:t>
              </a:r>
              <a:r>
                <a:rPr lang="en-US" sz="1100" baseline="0">
                  <a:solidFill>
                    <a:schemeClr val="dk1"/>
                  </a:solidFill>
                  <a:effectLst/>
                  <a:latin typeface="+mn-lt"/>
                  <a:ea typeface="+mn-ea"/>
                  <a:cs typeface="+mn-cs"/>
                </a:rPr>
                <a:t> by </a:t>
              </a:r>
              <a:r>
                <a:rPr lang="en-US" sz="1100">
                  <a:solidFill>
                    <a:schemeClr val="dk1"/>
                  </a:solidFill>
                  <a:effectLst/>
                  <a:latin typeface="+mn-lt"/>
                  <a:ea typeface="+mn-ea"/>
                  <a:cs typeface="+mn-cs"/>
                </a:rPr>
                <a:t>Porch (2011) as follows:</a:t>
              </a:r>
            </a:p>
            <a:p>
              <a:endParaRPr lang="en-US" sz="1100">
                <a:solidFill>
                  <a:schemeClr val="dk1"/>
                </a:solidFill>
                <a:effectLst/>
                <a:latin typeface="+mn-lt"/>
                <a:ea typeface="+mn-ea"/>
                <a:cs typeface="+mn-cs"/>
              </a:endParaRPr>
            </a:p>
            <a:p>
              <a14:m>
                <m:oMath xmlns:m="http://schemas.openxmlformats.org/officeDocument/2006/math">
                  <m:sSub>
                    <m:sSubPr>
                      <m:ctrlPr>
                        <a:rPr lang="en-US" sz="1100" i="1" u="sng">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𝑀</m:t>
                      </m:r>
                    </m:e>
                    <m:sub>
                      <m:r>
                        <a:rPr lang="en-US" sz="1100" i="1">
                          <a:solidFill>
                            <a:schemeClr val="dk1"/>
                          </a:solidFill>
                          <a:effectLst/>
                          <a:latin typeface="Cambria Math" panose="02040503050406030204" pitchFamily="18" charset="0"/>
                          <a:ea typeface="+mn-ea"/>
                          <a:cs typeface="+mn-cs"/>
                        </a:rPr>
                        <m:t>𝑖</m:t>
                      </m:r>
                    </m:sub>
                  </m:sSub>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𝑀</m:t>
                  </m:r>
                  <m:r>
                    <a:rPr lang="en-US" sz="1100" i="1">
                      <a:solidFill>
                        <a:schemeClr val="dk1"/>
                      </a:solidFill>
                      <a:effectLst/>
                      <a:latin typeface="Cambria Math" panose="02040503050406030204" pitchFamily="18" charset="0"/>
                      <a:ea typeface="+mn-ea"/>
                      <a:cs typeface="+mn-cs"/>
                    </a:rPr>
                    <m:t>_</m:t>
                  </m:r>
                  <m:r>
                    <a:rPr lang="en-US" sz="1100" i="1">
                      <a:solidFill>
                        <a:schemeClr val="dk1"/>
                      </a:solidFill>
                      <a:effectLst/>
                      <a:latin typeface="Cambria Math" panose="02040503050406030204" pitchFamily="18" charset="0"/>
                      <a:ea typeface="+mn-ea"/>
                      <a:cs typeface="+mn-cs"/>
                    </a:rPr>
                    <m:t>𝑡𝑎𝑟𝑔𝑒𝑡</m:t>
                  </m:r>
                  <m:f>
                    <m:fPr>
                      <m:ctrlPr>
                        <a:rPr lang="en-US" sz="1100" i="1" u="sng">
                          <a:solidFill>
                            <a:schemeClr val="dk1"/>
                          </a:solidFill>
                          <a:effectLst/>
                          <a:latin typeface="Cambria Math" panose="02040503050406030204" pitchFamily="18" charset="0"/>
                          <a:ea typeface="+mn-ea"/>
                          <a:cs typeface="+mn-cs"/>
                        </a:rPr>
                      </m:ctrlPr>
                    </m:fPr>
                    <m:num>
                      <m:r>
                        <a:rPr lang="en-US" sz="1100" i="1">
                          <a:solidFill>
                            <a:schemeClr val="dk1"/>
                          </a:solidFill>
                          <a:effectLst/>
                          <a:latin typeface="Cambria Math" panose="02040503050406030204" pitchFamily="18" charset="0"/>
                          <a:ea typeface="+mn-ea"/>
                          <a:cs typeface="+mn-cs"/>
                        </a:rPr>
                        <m:t>𝑛</m:t>
                      </m:r>
                      <m:sSub>
                        <m:sSubPr>
                          <m:ctrlPr>
                            <a:rPr lang="en-US" sz="1100" i="1" u="sng">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𝐿</m:t>
                          </m:r>
                        </m:e>
                        <m:sub>
                          <m:r>
                            <a:rPr lang="en-US" sz="1100" i="1">
                              <a:solidFill>
                                <a:schemeClr val="dk1"/>
                              </a:solidFill>
                              <a:effectLst/>
                              <a:latin typeface="Cambria Math" panose="02040503050406030204" pitchFamily="18" charset="0"/>
                              <a:ea typeface="+mn-ea"/>
                              <a:cs typeface="+mn-cs"/>
                            </a:rPr>
                            <m:t>𝑖</m:t>
                          </m:r>
                        </m:sub>
                      </m:sSub>
                    </m:num>
                    <m:den>
                      <m:nary>
                        <m:naryPr>
                          <m:chr m:val="∑"/>
                          <m:limLoc m:val="undOvr"/>
                          <m:ctrlPr>
                            <a:rPr lang="en-US" sz="1100" i="1" u="sng">
                              <a:solidFill>
                                <a:schemeClr val="dk1"/>
                              </a:solidFill>
                              <a:effectLst/>
                              <a:latin typeface="Cambria Math" panose="02040503050406030204" pitchFamily="18" charset="0"/>
                              <a:ea typeface="+mn-ea"/>
                              <a:cs typeface="+mn-cs"/>
                            </a:rPr>
                          </m:ctrlPr>
                        </m:naryPr>
                        <m:sub>
                          <m:sSub>
                            <m:sSubPr>
                              <m:ctrlPr>
                                <a:rPr lang="en-US" sz="1100" i="1" u="sng">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𝑡</m:t>
                              </m:r>
                            </m:e>
                            <m:sub>
                              <m:r>
                                <a:rPr lang="en-US" sz="1100" i="1">
                                  <a:solidFill>
                                    <a:schemeClr val="dk1"/>
                                  </a:solidFill>
                                  <a:effectLst/>
                                  <a:latin typeface="Cambria Math" panose="02040503050406030204" pitchFamily="18" charset="0"/>
                                  <a:ea typeface="+mn-ea"/>
                                  <a:cs typeface="+mn-cs"/>
                                </a:rPr>
                                <m:t>𝑐</m:t>
                              </m:r>
                            </m:sub>
                          </m:sSub>
                        </m:sub>
                        <m:sup>
                          <m:sSub>
                            <m:sSubPr>
                              <m:ctrlPr>
                                <a:rPr lang="en-US" sz="1100" i="1" u="sng">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𝑡</m:t>
                              </m:r>
                            </m:e>
                            <m:sub>
                              <m:r>
                                <a:rPr lang="en-US" sz="1100" i="1">
                                  <a:solidFill>
                                    <a:schemeClr val="dk1"/>
                                  </a:solidFill>
                                  <a:effectLst/>
                                  <a:latin typeface="Cambria Math" panose="02040503050406030204" pitchFamily="18" charset="0"/>
                                  <a:ea typeface="+mn-ea"/>
                                  <a:cs typeface="+mn-cs"/>
                                </a:rPr>
                                <m:t>𝑚𝑎𝑥</m:t>
                              </m:r>
                            </m:sub>
                          </m:sSub>
                        </m:sup>
                        <m:e>
                          <m:sSub>
                            <m:sSubPr>
                              <m:ctrlPr>
                                <a:rPr lang="en-US" sz="1100" i="1" u="sng">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𝐿</m:t>
                              </m:r>
                            </m:e>
                            <m:sub>
                              <m:r>
                                <a:rPr lang="en-US" sz="1100" i="1">
                                  <a:solidFill>
                                    <a:schemeClr val="dk1"/>
                                  </a:solidFill>
                                  <a:effectLst/>
                                  <a:latin typeface="Cambria Math" panose="02040503050406030204" pitchFamily="18" charset="0"/>
                                  <a:ea typeface="+mn-ea"/>
                                  <a:cs typeface="+mn-cs"/>
                                </a:rPr>
                                <m:t>𝑖</m:t>
                              </m:r>
                            </m:sub>
                          </m:sSub>
                        </m:e>
                      </m:nary>
                    </m:den>
                  </m:f>
                </m:oMath>
              </a14:m>
              <a:r>
                <a:rPr lang="en-US" sz="1100">
                  <a:solidFill>
                    <a:schemeClr val="dk1"/>
                  </a:solidFill>
                  <a:effectLst/>
                  <a:latin typeface="+mn-lt"/>
                  <a:ea typeface="+mn-ea"/>
                  <a:cs typeface="+mn-cs"/>
                </a:rPr>
                <a:t>	 		(2)</a:t>
              </a:r>
            </a:p>
            <a:p>
              <a:endParaRPr lang="en-US" sz="1100" baseline="0"/>
            </a:p>
            <a:p>
              <a:r>
                <a:rPr lang="en-US" sz="1100">
                  <a:solidFill>
                    <a:schemeClr val="dk1"/>
                  </a:solidFill>
                  <a:effectLst/>
                  <a:latin typeface="+mn-lt"/>
                  <a:ea typeface="+mn-ea"/>
                  <a:cs typeface="+mn-cs"/>
                </a:rPr>
                <a:t>Where </a:t>
              </a:r>
              <a:r>
                <a:rPr lang="en-US" sz="1100" b="1">
                  <a:solidFill>
                    <a:schemeClr val="dk1"/>
                  </a:solidFill>
                  <a:effectLst/>
                  <a:latin typeface="+mn-lt"/>
                  <a:ea typeface="+mn-ea"/>
                  <a:cs typeface="+mn-cs"/>
                </a:rPr>
                <a:t>Target_M</a:t>
              </a:r>
              <a:r>
                <a:rPr lang="en-US" sz="1100">
                  <a:solidFill>
                    <a:schemeClr val="dk1"/>
                  </a:solidFill>
                  <a:effectLst/>
                  <a:latin typeface="+mn-lt"/>
                  <a:ea typeface="+mn-ea"/>
                  <a:cs typeface="+mn-cs"/>
                </a:rPr>
                <a:t> is defined as the M as obtained from an external study, </a:t>
              </a:r>
              <a:r>
                <a:rPr lang="en-US" sz="1100" i="1">
                  <a:solidFill>
                    <a:schemeClr val="dk1"/>
                  </a:solidFill>
                  <a:effectLst/>
                  <a:latin typeface="+mn-lt"/>
                  <a:ea typeface="+mn-ea"/>
                  <a:cs typeface="+mn-cs"/>
                </a:rPr>
                <a:t>n </a:t>
              </a:r>
              <a:r>
                <a:rPr lang="en-US" sz="1100">
                  <a:solidFill>
                    <a:schemeClr val="dk1"/>
                  </a:solidFill>
                  <a:effectLst/>
                  <a:latin typeface="+mn-lt"/>
                  <a:ea typeface="+mn-ea"/>
                  <a:cs typeface="+mn-cs"/>
                </a:rPr>
                <a:t>is the number of exploited age classes and the summation of </a:t>
              </a:r>
              <a:r>
                <a:rPr lang="en-US" sz="1100" i="1">
                  <a:solidFill>
                    <a:schemeClr val="dk1"/>
                  </a:solidFill>
                  <a:effectLst/>
                  <a:latin typeface="+mn-lt"/>
                  <a:ea typeface="+mn-ea"/>
                  <a:cs typeface="+mn-cs"/>
                </a:rPr>
                <a:t>L</a:t>
              </a:r>
              <a:r>
                <a:rPr lang="en-US" sz="1100" i="1" baseline="-25000">
                  <a:solidFill>
                    <a:schemeClr val="dk1"/>
                  </a:solidFill>
                  <a:effectLst/>
                  <a:latin typeface="+mn-lt"/>
                  <a:ea typeface="+mn-ea"/>
                  <a:cs typeface="+mn-cs"/>
                </a:rPr>
                <a:t>i</a:t>
              </a:r>
              <a:r>
                <a:rPr lang="en-US" sz="1100" i="1">
                  <a:solidFill>
                    <a:schemeClr val="dk1"/>
                  </a:solidFill>
                  <a:effectLst/>
                  <a:latin typeface="+mn-lt"/>
                  <a:ea typeface="+mn-ea"/>
                  <a:cs typeface="+mn-cs"/>
                </a:rPr>
                <a:t> </a:t>
              </a:r>
              <a:r>
                <a:rPr lang="en-US" sz="1100">
                  <a:solidFill>
                    <a:schemeClr val="dk1"/>
                  </a:solidFill>
                  <a:effectLst/>
                  <a:latin typeface="+mn-lt"/>
                  <a:ea typeface="+mn-ea"/>
                  <a:cs typeface="+mn-cs"/>
                </a:rPr>
                <a:t>is from the age at first full recruitment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c</a:t>
              </a:r>
              <a:r>
                <a:rPr lang="en-US" sz="1100">
                  <a:solidFill>
                    <a:schemeClr val="dk1"/>
                  </a:solidFill>
                  <a:effectLst/>
                  <a:latin typeface="+mn-lt"/>
                  <a:ea typeface="+mn-ea"/>
                  <a:cs typeface="+mn-cs"/>
                </a:rPr>
                <a:t> to the maximum age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max</a:t>
              </a:r>
              <a:r>
                <a:rPr lang="en-US" sz="1100">
                  <a:solidFill>
                    <a:schemeClr val="dk1"/>
                  </a:solidFill>
                  <a:effectLst/>
                  <a:latin typeface="+mn-lt"/>
                  <a:ea typeface="+mn-ea"/>
                  <a:cs typeface="+mn-cs"/>
                </a:rPr>
                <a:t>.   The age at first full recruitment</a:t>
              </a:r>
              <a:r>
                <a:rPr lang="en-US" sz="1100" baseline="0">
                  <a:solidFill>
                    <a:schemeClr val="dk1"/>
                  </a:solidFill>
                  <a:effectLst/>
                  <a:latin typeface="+mn-lt"/>
                  <a:ea typeface="+mn-ea"/>
                  <a:cs typeface="+mn-cs"/>
                </a:rPr>
                <a:t>  (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c</a:t>
              </a:r>
              <a:r>
                <a:rPr lang="en-US" sz="1100">
                  <a:solidFill>
                    <a:schemeClr val="dk1"/>
                  </a:solidFill>
                  <a:effectLst/>
                  <a:latin typeface="+mn-lt"/>
                  <a:ea typeface="+mn-ea"/>
                  <a:cs typeface="+mn-cs"/>
                </a:rPr>
                <a:t> ) </a:t>
              </a:r>
              <a:r>
                <a:rPr lang="en-US" sz="1100" baseline="0">
                  <a:solidFill>
                    <a:schemeClr val="dk1"/>
                  </a:solidFill>
                  <a:effectLst/>
                  <a:latin typeface="+mn-lt"/>
                  <a:ea typeface="+mn-ea"/>
                  <a:cs typeface="+mn-cs"/>
                </a:rPr>
                <a:t>was  set at age 4 and </a:t>
              </a:r>
              <a:r>
                <a:rPr lang="en-US" sz="1100" b="1">
                  <a:solidFill>
                    <a:schemeClr val="dk1"/>
                  </a:solidFill>
                  <a:effectLst/>
                  <a:latin typeface="+mn-lt"/>
                  <a:ea typeface="+mn-ea"/>
                  <a:cs typeface="+mn-cs"/>
                </a:rPr>
                <a:t>Target_M</a:t>
              </a:r>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was obtained assuming a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max</a:t>
              </a:r>
              <a:r>
                <a:rPr lang="en-US" sz="1100" b="0" i="0" baseline="0">
                  <a:solidFill>
                    <a:schemeClr val="dk1"/>
                  </a:solidFill>
                  <a:effectLst/>
                  <a:latin typeface="+mn-lt"/>
                  <a:ea typeface="+mn-ea"/>
                  <a:cs typeface="+mn-cs"/>
                </a:rPr>
                <a:t> </a:t>
              </a:r>
              <a:r>
                <a:rPr lang="en-US" sz="1100" baseline="0">
                  <a:solidFill>
                    <a:schemeClr val="dk1"/>
                  </a:solidFill>
                  <a:effectLst/>
                  <a:latin typeface="+mn-lt"/>
                  <a:ea typeface="+mn-ea"/>
                  <a:cs typeface="+mn-cs"/>
                </a:rPr>
                <a:t>of 35 and using the Then et al (2016) estimator to give a value of 0.1887. A range of high (0.24) and low (0.14)  </a:t>
              </a:r>
              <a:r>
                <a:rPr lang="en-US" sz="1100" b="1">
                  <a:solidFill>
                    <a:schemeClr val="dk1"/>
                  </a:solidFill>
                  <a:effectLst/>
                  <a:latin typeface="+mn-lt"/>
                  <a:ea typeface="+mn-ea"/>
                  <a:cs typeface="+mn-cs"/>
                </a:rPr>
                <a:t>Target_M</a:t>
              </a:r>
              <a:r>
                <a:rPr lang="en-US" sz="1100">
                  <a:solidFill>
                    <a:schemeClr val="dk1"/>
                  </a:solidFill>
                  <a:effectLst/>
                  <a:latin typeface="+mn-lt"/>
                  <a:ea typeface="+mn-ea"/>
                  <a:cs typeface="+mn-cs"/>
                </a:rPr>
                <a:t> was used to</a:t>
              </a:r>
              <a:r>
                <a:rPr lang="en-US" sz="1100" baseline="0">
                  <a:solidFill>
                    <a:schemeClr val="dk1"/>
                  </a:solidFill>
                  <a:effectLst/>
                  <a:latin typeface="+mn-lt"/>
                  <a:ea typeface="+mn-ea"/>
                  <a:cs typeface="+mn-cs"/>
                </a:rPr>
                <a:t> provide an upper and lower range for  </a:t>
              </a:r>
              <a:r>
                <a:rPr lang="en-US" sz="1100" b="1">
                  <a:solidFill>
                    <a:schemeClr val="dk1"/>
                  </a:solidFill>
                  <a:effectLst/>
                  <a:latin typeface="+mn-lt"/>
                  <a:ea typeface="+mn-ea"/>
                  <a:cs typeface="+mn-cs"/>
                </a:rPr>
                <a:t>Target_M</a:t>
              </a:r>
              <a:r>
                <a:rPr lang="en-US" sz="1100" b="0">
                  <a:solidFill>
                    <a:schemeClr val="dk1"/>
                  </a:solidFill>
                  <a:effectLst/>
                  <a:latin typeface="+mn-lt"/>
                  <a:ea typeface="+mn-ea"/>
                  <a:cs typeface="+mn-cs"/>
                </a:rPr>
                <a:t>.</a:t>
              </a:r>
              <a:endParaRPr lang="en-US" sz="1100" baseline="0">
                <a:solidFill>
                  <a:schemeClr val="dk1"/>
                </a:solidFill>
                <a:effectLst/>
                <a:latin typeface="+mn-lt"/>
                <a:ea typeface="+mn-ea"/>
                <a:cs typeface="+mn-cs"/>
              </a:endParaRPr>
            </a:p>
            <a:p>
              <a:r>
                <a:rPr lang="en-US"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method requires assuming a length-weight relationship and length</a:t>
              </a:r>
              <a:r>
                <a:rPr lang="en-US" sz="1100" baseline="0">
                  <a:solidFill>
                    <a:schemeClr val="dk1"/>
                  </a:solidFill>
                  <a:effectLst/>
                  <a:latin typeface="+mn-lt"/>
                  <a:ea typeface="+mn-ea"/>
                  <a:cs typeface="+mn-cs"/>
                </a:rPr>
                <a:t> at age. The length weight relationship comes from the ICCAT RWT~SFL relationship (Rodriguez-Marin et al. 2015) for all the Eastern Atlantic over all months (alpha= </a:t>
              </a:r>
              <a:r>
                <a:rPr lang="en-US" sz="1100" b="0" i="0" u="none" strike="noStrike">
                  <a:solidFill>
                    <a:schemeClr val="dk1"/>
                  </a:solidFill>
                  <a:effectLst/>
                  <a:latin typeface="+mn-lt"/>
                  <a:ea typeface="+mn-ea"/>
                  <a:cs typeface="+mn-cs"/>
                </a:rPr>
                <a:t>0.000035080</a:t>
              </a:r>
              <a:r>
                <a:rPr lang="en-US"/>
                <a:t> , </a:t>
              </a:r>
              <a:r>
                <a:rPr lang="en-US" sz="1100" baseline="0">
                  <a:solidFill>
                    <a:schemeClr val="dk1"/>
                  </a:solidFill>
                  <a:effectLst/>
                  <a:latin typeface="+mn-lt"/>
                  <a:ea typeface="+mn-ea"/>
                  <a:cs typeface="+mn-cs"/>
                </a:rPr>
                <a:t>; beta=</a:t>
              </a:r>
              <a:r>
                <a:rPr lang="en-US" sz="1100" b="0" i="0">
                  <a:solidFill>
                    <a:schemeClr val="dk1"/>
                  </a:solidFill>
                  <a:effectLst/>
                  <a:latin typeface="+mn-lt"/>
                  <a:ea typeface="+mn-ea"/>
                  <a:cs typeface="+mn-cs"/>
                </a:rPr>
                <a:t>2.878451000.</a:t>
              </a:r>
              <a:r>
                <a:rPr lang="en-US" sz="1100" b="0" i="0" baseline="0">
                  <a:solidFill>
                    <a:schemeClr val="dk1"/>
                  </a:solidFill>
                  <a:effectLst/>
                  <a:latin typeface="+mn-lt"/>
                  <a:ea typeface="+mn-ea"/>
                  <a:cs typeface="+mn-cs"/>
                </a:rPr>
                <a:t> This was done due to larger population size in the East, though the two relationships are similar. Length at age was obtained using the Ailloud et al (2017) growth curve obtained for the Western stock with a Richards model. </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Two more adjustments were required to obtain the M corresponding to the ages in the VPA modeling. These are an offset related to the timing of the year in the VPA and an offset of half of a year was used to adjust ages forward to mid-year age. An additional shift  was used to adjust the ages back 180 days to account for an assumed June 1 birthdate. </a:t>
              </a: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resulting M-vector with upper and lower estimates indicates that the M is substantially higher than the previous estimates for both Eastern and Western BFT particularly for ages 1-10 (Table XXX, Figure XXX).  In contrast, use of the Hoenig (1983) estimate of M from Tmax would make the natural mortality vector quite similar to the previously used  estimates.</a:t>
              </a:r>
              <a:endParaRPr lang="en-US">
                <a:effectLst/>
              </a:endParaRPr>
            </a:p>
            <a:p>
              <a:endParaRPr lang="en-US" sz="1100" baseline="0">
                <a:solidFill>
                  <a:schemeClr val="dk1"/>
                </a:solidFill>
                <a:effectLst/>
                <a:latin typeface="+mn-lt"/>
                <a:ea typeface="+mn-ea"/>
                <a:cs typeface="+mn-cs"/>
              </a:endParaRPr>
            </a:p>
            <a:p>
              <a:endParaRPr lang="en-US" sz="1100" baseline="0"/>
            </a:p>
            <a:p>
              <a:r>
                <a:rPr lang="en-US" sz="1100" b="1" baseline="0"/>
                <a:t>Literature:</a:t>
              </a:r>
            </a:p>
            <a:p>
              <a:r>
                <a:rPr lang="en-US" sz="1100" baseline="0"/>
                <a:t>Ailloud. L. </a:t>
              </a:r>
              <a:r>
                <a:rPr lang="en-US" sz="1100" b="0" i="0" u="none" strike="noStrike" baseline="0">
                  <a:solidFill>
                    <a:schemeClr val="dk1"/>
                  </a:solidFill>
                  <a:latin typeface="+mn-lt"/>
                  <a:ea typeface="+mn-ea"/>
                  <a:cs typeface="+mn-cs"/>
                </a:rPr>
                <a:t>M. V. Lauretta, A.R. Hanke, W. J. Golet, R. J. Allman, M. R. Siskey, D. H. Secor, J.  M. Hoenig. </a:t>
              </a:r>
              <a:r>
                <a:rPr lang="en-US" sz="1100" baseline="0"/>
                <a:t>2017. </a:t>
              </a:r>
              <a:r>
                <a:rPr lang="en-US" sz="1100" b="0" i="0" u="none" strike="noStrike" baseline="0">
                  <a:solidFill>
                    <a:schemeClr val="dk1"/>
                  </a:solidFill>
                  <a:latin typeface="+mn-lt"/>
                  <a:ea typeface="+mn-ea"/>
                  <a:cs typeface="+mn-cs"/>
                </a:rPr>
                <a:t>Improving growth estimates for Western Atlantic bluefin tuna using an integrated</a:t>
              </a:r>
            </a:p>
            <a:p>
              <a:r>
                <a:rPr lang="en-US" sz="1100" b="0" i="0" u="none" strike="noStrike" baseline="0">
                  <a:solidFill>
                    <a:schemeClr val="dk1"/>
                  </a:solidFill>
                  <a:latin typeface="+mn-lt"/>
                  <a:ea typeface="+mn-ea"/>
                  <a:cs typeface="+mn-cs"/>
                </a:rPr>
                <a:t>modeling approach. Fisheries Research. </a:t>
              </a:r>
              <a:endParaRPr lang="en-US" sz="1100" baseline="0"/>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Hoenig, J. M. 1983. Empirical use of longevity data to estimate mortality rates. Fishery Bulletin, 82: 898–903.</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Porch.</a:t>
              </a:r>
              <a:r>
                <a:rPr lang="en-US" sz="1100" baseline="0">
                  <a:solidFill>
                    <a:schemeClr val="dk1"/>
                  </a:solidFill>
                  <a:effectLst/>
                  <a:latin typeface="+mn-lt"/>
                  <a:ea typeface="+mn-ea"/>
                  <a:cs typeface="+mn-cs"/>
                </a:rPr>
                <a:t> C. </a:t>
              </a:r>
              <a:r>
                <a:rPr lang="en-US" sz="1100">
                  <a:solidFill>
                    <a:schemeClr val="dk1"/>
                  </a:solidFill>
                  <a:effectLst/>
                  <a:latin typeface="+mn-lt"/>
                  <a:ea typeface="+mn-ea"/>
                  <a:cs typeface="+mn-cs"/>
                </a:rPr>
                <a:t>2011</a:t>
              </a:r>
              <a:r>
                <a:rPr lang="en-US" sz="1100" i="1">
                  <a:solidFill>
                    <a:schemeClr val="dk1"/>
                  </a:solidFill>
                  <a:effectLst/>
                  <a:latin typeface="+mn-lt"/>
                  <a:ea typeface="+mn-ea"/>
                  <a:cs typeface="+mn-cs"/>
                </a:rPr>
                <a:t> in</a:t>
              </a:r>
              <a:r>
                <a:rPr lang="en-US" sz="1100">
                  <a:solidFill>
                    <a:schemeClr val="dk1"/>
                  </a:solidFill>
                  <a:effectLst/>
                  <a:latin typeface="+mn-lt"/>
                  <a:ea typeface="+mn-ea"/>
                  <a:cs typeface="+mn-cs"/>
                </a:rPr>
                <a:t> Brodziak, J., J. Ianelli, K. Lorenzen, and R.D. Methot Jr. (eds). 2011. Estimating natural </a:t>
              </a:r>
            </a:p>
            <a:p>
              <a:r>
                <a:rPr lang="en-US" sz="1100">
                  <a:solidFill>
                    <a:schemeClr val="dk1"/>
                  </a:solidFill>
                  <a:effectLst/>
                  <a:latin typeface="+mn-lt"/>
                  <a:ea typeface="+mn-ea"/>
                  <a:cs typeface="+mn-cs"/>
                </a:rPr>
                <a:t>mortality in stock assessment applications. U.S. Dep. Commer., NOAA Tech. Memo. NMFS-F/SPO-119, 38 p.</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Lorenzen, K. 1996. The relationship between body weight and natural mortality in juvenile and adult fish: a comparison of natural ecosystems and aquaculture. Journal of Fish Biology 49:627-642.</a:t>
              </a:r>
              <a:endParaRPr lang="en-US" sz="1100">
                <a:solidFill>
                  <a:schemeClr val="dk1"/>
                </a:solidFill>
                <a:effectLst/>
                <a:latin typeface="+mn-lt"/>
                <a:ea typeface="+mn-ea"/>
                <a:cs typeface="+mn-cs"/>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Lorenzen, K. (2005) Population dynamics and potential of fisheries stock enhancement: practical theory for assessment and policy analysis. Philosophical Transactions of the Royal Society of London. Fisheries Theme Issue </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Rodriguez-Marin E, Ortiz M, Ortiz de Urbina J.M., Quelle P, Walter J, Abid N, et al. (2015) Atlantic bluefin tuna (Thunnus thynnus). Biometrics and Condition.</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PLoS ONE 10(10): e0141478.doi:10.1371/journal.pone.0141478</a:t>
              </a:r>
            </a:p>
            <a:p>
              <a:pPr marL="0" marR="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Then, A. Y., Hoenig, J. M., Hall, N. G., and Hewitt, D. A. 2015. Evaluating the predictive performance of empirical estimators of natural mortality rate using information on over 200 fish species. ICES Journal of Marine Science, 72: 82–92.</a:t>
              </a:r>
              <a:endParaRPr lang="en-US" sz="1100">
                <a:solidFill>
                  <a:schemeClr val="dk1"/>
                </a:solidFill>
                <a:effectLst/>
                <a:latin typeface="+mn-lt"/>
                <a:ea typeface="+mn-ea"/>
                <a:cs typeface="+mn-cs"/>
              </a:endParaRPr>
            </a:p>
            <a:p>
              <a:endParaRPr lang="en-US" sz="1100"/>
            </a:p>
            <a:p>
              <a:endParaRPr lang="en-US" sz="1100"/>
            </a:p>
          </xdr:txBody>
        </xdr:sp>
      </mc:Choice>
      <mc:Fallback xmlns="">
        <xdr:sp macro="" textlink="">
          <xdr:nvSpPr>
            <xdr:cNvPr id="10" name="TextBox 9"/>
            <xdr:cNvSpPr txBox="1"/>
          </xdr:nvSpPr>
          <xdr:spPr>
            <a:xfrm>
              <a:off x="19276518" y="0"/>
              <a:ext cx="7487317" cy="1011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Cut and paste for report:</a:t>
              </a:r>
            </a:p>
            <a:p>
              <a:endParaRPr lang="en-US" sz="1100"/>
            </a:p>
            <a:p>
              <a:r>
                <a:rPr lang="en-US" sz="1100"/>
                <a:t>A</a:t>
              </a:r>
              <a:r>
                <a:rPr lang="en-US" sz="1100" baseline="0"/>
                <a:t> natural mortality vector was developed using the Lorenzen (2005) approach</a:t>
              </a:r>
              <a:r>
                <a:rPr lang="en-US" sz="1100">
                  <a:solidFill>
                    <a:schemeClr val="dk1"/>
                  </a:solidFill>
                  <a:effectLst/>
                  <a:latin typeface="+mn-lt"/>
                  <a:ea typeface="+mn-ea"/>
                  <a:cs typeface="+mn-cs"/>
                </a:rPr>
                <a:t>where the M at age is scaled as a function of weight at age as follows (Lorenzen 1996):</a:t>
              </a:r>
            </a:p>
            <a:p>
              <a:endParaRPr lang="en-US" sz="1100">
                <a:solidFill>
                  <a:schemeClr val="dk1"/>
                </a:solidFill>
                <a:effectLst/>
                <a:latin typeface="+mn-lt"/>
                <a:ea typeface="+mn-ea"/>
                <a:cs typeface="+mn-cs"/>
              </a:endParaRPr>
            </a:p>
            <a:p>
              <a:r>
                <a:rPr lang="en-US" sz="1100" i="0" u="sng">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𝐿</a:t>
              </a:r>
              <a:r>
                <a:rPr lang="en-US" sz="1100" i="0" u="sng">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𝑖=𝑐𝑊</a:t>
              </a:r>
              <a:r>
                <a:rPr lang="en-US" sz="1100" i="0" u="sng">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𝑖</a:t>
              </a:r>
              <a:r>
                <a:rPr lang="en-US" sz="1100" i="0" u="sng">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𝑑</a:t>
              </a:r>
              <a:r>
                <a:rPr lang="en-US" sz="1100">
                  <a:solidFill>
                    <a:schemeClr val="dk1"/>
                  </a:solidFill>
                  <a:effectLst/>
                  <a:latin typeface="+mn-lt"/>
                  <a:ea typeface="+mn-ea"/>
                  <a:cs typeface="+mn-cs"/>
                </a:rPr>
                <a:t>		(1)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Where </a:t>
              </a:r>
              <a:r>
                <a:rPr lang="en-US" sz="1100" b="1" i="1">
                  <a:solidFill>
                    <a:schemeClr val="dk1"/>
                  </a:solidFill>
                  <a:effectLst/>
                  <a:latin typeface="+mn-lt"/>
                  <a:ea typeface="+mn-ea"/>
                  <a:cs typeface="+mn-cs"/>
                </a:rPr>
                <a:t>L</a:t>
              </a:r>
              <a:r>
                <a:rPr lang="en-US" sz="1100" b="1" i="1" baseline="-25000">
                  <a:solidFill>
                    <a:schemeClr val="dk1"/>
                  </a:solidFill>
                  <a:effectLst/>
                  <a:latin typeface="+mn-lt"/>
                  <a:ea typeface="+mn-ea"/>
                  <a:cs typeface="+mn-cs"/>
                </a:rPr>
                <a:t>i</a:t>
              </a:r>
              <a:r>
                <a:rPr lang="en-US" sz="1100">
                  <a:solidFill>
                    <a:schemeClr val="dk1"/>
                  </a:solidFill>
                  <a:effectLst/>
                  <a:latin typeface="+mn-lt"/>
                  <a:ea typeface="+mn-ea"/>
                  <a:cs typeface="+mn-cs"/>
                </a:rPr>
                <a:t> and </a:t>
              </a:r>
              <a:r>
                <a:rPr lang="en-US" sz="1100" b="1" i="1">
                  <a:solidFill>
                    <a:schemeClr val="dk1"/>
                  </a:solidFill>
                  <a:effectLst/>
                  <a:latin typeface="+mn-lt"/>
                  <a:ea typeface="+mn-ea"/>
                  <a:cs typeface="+mn-cs"/>
                </a:rPr>
                <a:t>W</a:t>
              </a:r>
              <a:r>
                <a:rPr lang="en-US" sz="1100" b="1" i="1" baseline="-25000">
                  <a:solidFill>
                    <a:schemeClr val="dk1"/>
                  </a:solidFill>
                  <a:effectLst/>
                  <a:latin typeface="+mn-lt"/>
                  <a:ea typeface="+mn-ea"/>
                  <a:cs typeface="+mn-cs"/>
                </a:rPr>
                <a:t>i</a:t>
              </a:r>
              <a:r>
                <a:rPr lang="en-US" sz="1100" b="1" i="1">
                  <a:solidFill>
                    <a:schemeClr val="dk1"/>
                  </a:solidFill>
                  <a:effectLst/>
                  <a:latin typeface="+mn-lt"/>
                  <a:ea typeface="+mn-ea"/>
                  <a:cs typeface="+mn-cs"/>
                </a:rPr>
                <a:t> </a:t>
              </a:r>
              <a:r>
                <a:rPr lang="en-US" sz="1100">
                  <a:solidFill>
                    <a:schemeClr val="dk1"/>
                  </a:solidFill>
                  <a:effectLst/>
                  <a:latin typeface="+mn-lt"/>
                  <a:ea typeface="+mn-ea"/>
                  <a:cs typeface="+mn-cs"/>
                </a:rPr>
                <a:t>are mortality and weight at age, respectively, </a:t>
              </a:r>
              <a:r>
                <a:rPr lang="en-US" sz="1100" b="1" i="1">
                  <a:solidFill>
                    <a:schemeClr val="dk1"/>
                  </a:solidFill>
                  <a:effectLst/>
                  <a:latin typeface="+mn-lt"/>
                  <a:ea typeface="+mn-ea"/>
                  <a:cs typeface="+mn-cs"/>
                </a:rPr>
                <a:t>c</a:t>
              </a:r>
              <a:r>
                <a:rPr lang="en-US" sz="1100">
                  <a:solidFill>
                    <a:schemeClr val="dk1"/>
                  </a:solidFill>
                  <a:effectLst/>
                  <a:latin typeface="+mn-lt"/>
                  <a:ea typeface="+mn-ea"/>
                  <a:cs typeface="+mn-cs"/>
                </a:rPr>
                <a:t> and </a:t>
              </a:r>
              <a:r>
                <a:rPr lang="en-US" sz="1100" b="1" i="1">
                  <a:solidFill>
                    <a:schemeClr val="dk1"/>
                  </a:solidFill>
                  <a:effectLst/>
                  <a:latin typeface="+mn-lt"/>
                  <a:ea typeface="+mn-ea"/>
                  <a:cs typeface="+mn-cs"/>
                </a:rPr>
                <a:t>d</a:t>
              </a:r>
              <a:r>
                <a:rPr lang="en-US" sz="1100">
                  <a:solidFill>
                    <a:schemeClr val="dk1"/>
                  </a:solidFill>
                  <a:effectLst/>
                  <a:latin typeface="+mn-lt"/>
                  <a:ea typeface="+mn-ea"/>
                  <a:cs typeface="+mn-cs"/>
                </a:rPr>
                <a:t> represent constants and exponents obtained by Lorenzen (1996) for all natural systems</a:t>
              </a:r>
              <a:r>
                <a:rPr lang="en-US" sz="1100" baseline="0">
                  <a:solidFill>
                    <a:schemeClr val="dk1"/>
                  </a:solidFill>
                  <a:effectLst/>
                  <a:latin typeface="+mn-lt"/>
                  <a:ea typeface="+mn-ea"/>
                  <a:cs typeface="+mn-cs"/>
                </a:rPr>
                <a:t> of</a:t>
              </a:r>
              <a:r>
                <a:rPr lang="en-US" sz="1100">
                  <a:solidFill>
                    <a:schemeClr val="dk1"/>
                  </a:solidFill>
                  <a:effectLst/>
                  <a:latin typeface="+mn-lt"/>
                  <a:ea typeface="+mn-ea"/>
                  <a:cs typeface="+mn-cs"/>
                </a:rPr>
                <a:t> fish</a:t>
              </a:r>
              <a:r>
                <a:rPr lang="en-US" sz="1100" baseline="0">
                  <a:solidFill>
                    <a:schemeClr val="dk1"/>
                  </a:solidFill>
                  <a:effectLst/>
                  <a:latin typeface="+mn-lt"/>
                  <a:ea typeface="+mn-ea"/>
                  <a:cs typeface="+mn-cs"/>
                </a:rPr>
                <a:t> and are, </a:t>
              </a:r>
              <a:r>
                <a:rPr lang="en-US" sz="1100">
                  <a:solidFill>
                    <a:schemeClr val="dk1"/>
                  </a:solidFill>
                  <a:effectLst/>
                  <a:latin typeface="+mn-lt"/>
                  <a:ea typeface="+mn-ea"/>
                  <a:cs typeface="+mn-cs"/>
                </a:rPr>
                <a:t>3.69 and -0.305, respectively.  </a:t>
              </a:r>
            </a:p>
            <a:p>
              <a:endParaRPr lang="en-US" sz="1100" baseline="0"/>
            </a:p>
            <a:p>
              <a:r>
                <a:rPr lang="en-US" sz="1100">
                  <a:solidFill>
                    <a:schemeClr val="dk1"/>
                  </a:solidFill>
                  <a:effectLst/>
                  <a:latin typeface="+mn-lt"/>
                  <a:ea typeface="+mn-ea"/>
                  <a:cs typeface="+mn-cs"/>
                </a:rPr>
                <a:t>Then the resulting </a:t>
              </a:r>
              <a:r>
                <a:rPr lang="en-US" sz="1100" b="1" i="1">
                  <a:solidFill>
                    <a:schemeClr val="dk1"/>
                  </a:solidFill>
                  <a:effectLst/>
                  <a:latin typeface="+mn-lt"/>
                  <a:ea typeface="+mn-ea"/>
                  <a:cs typeface="+mn-cs"/>
                </a:rPr>
                <a:t>L</a:t>
              </a:r>
              <a:r>
                <a:rPr lang="en-US" sz="1100" b="1" i="1" baseline="-25000">
                  <a:solidFill>
                    <a:schemeClr val="dk1"/>
                  </a:solidFill>
                  <a:effectLst/>
                  <a:latin typeface="+mn-lt"/>
                  <a:ea typeface="+mn-ea"/>
                  <a:cs typeface="+mn-cs"/>
                </a:rPr>
                <a:t>i</a:t>
              </a:r>
              <a:r>
                <a:rPr lang="en-US" sz="1100">
                  <a:solidFill>
                    <a:schemeClr val="dk1"/>
                  </a:solidFill>
                  <a:effectLst/>
                  <a:latin typeface="+mn-lt"/>
                  <a:ea typeface="+mn-ea"/>
                  <a:cs typeface="+mn-cs"/>
                </a:rPr>
                <a:t> vector is scaled so that its average over ages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c</a:t>
              </a:r>
              <a:r>
                <a:rPr lang="en-US" sz="1100">
                  <a:solidFill>
                    <a:schemeClr val="dk1"/>
                  </a:solidFill>
                  <a:effectLst/>
                  <a:latin typeface="+mn-lt"/>
                  <a:ea typeface="+mn-ea"/>
                  <a:cs typeface="+mn-cs"/>
                </a:rPr>
                <a:t> to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max</a:t>
              </a:r>
              <a:r>
                <a:rPr lang="en-US" sz="1100">
                  <a:solidFill>
                    <a:schemeClr val="dk1"/>
                  </a:solidFill>
                  <a:effectLst/>
                  <a:latin typeface="+mn-lt"/>
                  <a:ea typeface="+mn-ea"/>
                  <a:cs typeface="+mn-cs"/>
                </a:rPr>
                <a:t> is equal to the </a:t>
              </a:r>
              <a:r>
                <a:rPr lang="en-US" sz="1100" b="1">
                  <a:solidFill>
                    <a:schemeClr val="dk1"/>
                  </a:solidFill>
                  <a:effectLst/>
                  <a:latin typeface="+mn-lt"/>
                  <a:ea typeface="+mn-ea"/>
                  <a:cs typeface="+mn-cs"/>
                </a:rPr>
                <a:t>Target_M</a:t>
              </a:r>
              <a:r>
                <a:rPr lang="en-US" sz="1100">
                  <a:solidFill>
                    <a:schemeClr val="dk1"/>
                  </a:solidFill>
                  <a:effectLst/>
                  <a:latin typeface="+mn-lt"/>
                  <a:ea typeface="+mn-ea"/>
                  <a:cs typeface="+mn-cs"/>
                </a:rPr>
                <a:t>, originally presented</a:t>
              </a:r>
              <a:r>
                <a:rPr lang="en-US" sz="1100" baseline="0">
                  <a:solidFill>
                    <a:schemeClr val="dk1"/>
                  </a:solidFill>
                  <a:effectLst/>
                  <a:latin typeface="+mn-lt"/>
                  <a:ea typeface="+mn-ea"/>
                  <a:cs typeface="+mn-cs"/>
                </a:rPr>
                <a:t> by </a:t>
              </a:r>
              <a:r>
                <a:rPr lang="en-US" sz="1100">
                  <a:solidFill>
                    <a:schemeClr val="dk1"/>
                  </a:solidFill>
                  <a:effectLst/>
                  <a:latin typeface="+mn-lt"/>
                  <a:ea typeface="+mn-ea"/>
                  <a:cs typeface="+mn-cs"/>
                </a:rPr>
                <a:t>Porch (2011) as follows:</a:t>
              </a:r>
            </a:p>
            <a:p>
              <a:endParaRPr lang="en-US" sz="1100">
                <a:solidFill>
                  <a:schemeClr val="dk1"/>
                </a:solidFill>
                <a:effectLst/>
                <a:latin typeface="+mn-lt"/>
                <a:ea typeface="+mn-ea"/>
                <a:cs typeface="+mn-cs"/>
              </a:endParaRPr>
            </a:p>
            <a:p>
              <a:r>
                <a:rPr lang="en-US" sz="1100" i="0">
                  <a:solidFill>
                    <a:schemeClr val="dk1"/>
                  </a:solidFill>
                  <a:effectLst/>
                  <a:latin typeface="Cambria Math" panose="02040503050406030204" pitchFamily="18" charset="0"/>
                  <a:ea typeface="+mn-ea"/>
                  <a:cs typeface="+mn-cs"/>
                </a:rPr>
                <a:t>𝑀</a:t>
              </a:r>
              <a:r>
                <a:rPr lang="en-US" sz="1100" i="0" u="sng">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𝑖=𝑀_𝑡𝑎𝑟𝑔𝑒𝑡 </a:t>
              </a:r>
              <a:r>
                <a:rPr lang="en-US" sz="1100" i="0" u="sng">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𝑛𝐿</a:t>
              </a:r>
              <a:r>
                <a:rPr lang="en-US" sz="1100" i="0" u="sng">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𝑖</a:t>
              </a:r>
              <a:r>
                <a:rPr lang="en-US" sz="1100" i="0" u="sng">
                  <a:solidFill>
                    <a:schemeClr val="dk1"/>
                  </a:solidFill>
                  <a:effectLst/>
                  <a:latin typeface="Cambria Math" panose="02040503050406030204" pitchFamily="18" charset="0"/>
                  <a:ea typeface="+mn-ea"/>
                  <a:cs typeface="+mn-cs"/>
                </a:rPr>
                <a:t>)/(∑1_(</a:t>
              </a:r>
              <a:r>
                <a:rPr lang="en-US" sz="1100" i="0">
                  <a:solidFill>
                    <a:schemeClr val="dk1"/>
                  </a:solidFill>
                  <a:effectLst/>
                  <a:latin typeface="Cambria Math" panose="02040503050406030204" pitchFamily="18" charset="0"/>
                  <a:ea typeface="+mn-ea"/>
                  <a:cs typeface="+mn-cs"/>
                </a:rPr>
                <a:t>𝑡</a:t>
              </a:r>
              <a:r>
                <a:rPr lang="en-US" sz="1100" i="0" u="sng">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𝑐</a:t>
              </a:r>
              <a:r>
                <a:rPr lang="en-US" sz="1100" i="0" u="sng">
                  <a:solidFill>
                    <a:schemeClr val="dk1"/>
                  </a:solidFill>
                  <a:effectLst/>
                  <a:latin typeface="Cambria Math" panose="02040503050406030204" pitchFamily="18" charset="0"/>
                  <a:ea typeface="+mn-ea"/>
                  <a:cs typeface="+mn-cs"/>
                </a:rPr>
                <a:t>)^(</a:t>
              </a:r>
              <a:r>
                <a:rPr lang="en-US" sz="1100" i="0">
                  <a:solidFill>
                    <a:schemeClr val="dk1"/>
                  </a:solidFill>
                  <a:effectLst/>
                  <a:latin typeface="Cambria Math" panose="02040503050406030204" pitchFamily="18" charset="0"/>
                  <a:ea typeface="+mn-ea"/>
                  <a:cs typeface="+mn-cs"/>
                </a:rPr>
                <a:t>𝑡</a:t>
              </a:r>
              <a:r>
                <a:rPr lang="en-US" sz="1100" i="0" u="sng">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𝑚𝑎𝑥)▒𝐿</a:t>
              </a:r>
              <a:r>
                <a:rPr lang="en-US" sz="1100" i="0" u="sng">
                  <a:solidFill>
                    <a:schemeClr val="dk1"/>
                  </a:solidFill>
                  <a:effectLst/>
                  <a:latin typeface="Cambria Math" panose="02040503050406030204" pitchFamily="18" charset="0"/>
                  <a:ea typeface="+mn-ea"/>
                  <a:cs typeface="+mn-cs"/>
                </a:rPr>
                <a:t>_</a:t>
              </a:r>
              <a:r>
                <a:rPr lang="en-US" sz="1100" i="0">
                  <a:solidFill>
                    <a:schemeClr val="dk1"/>
                  </a:solidFill>
                  <a:effectLst/>
                  <a:latin typeface="Cambria Math" panose="02040503050406030204" pitchFamily="18" charset="0"/>
                  <a:ea typeface="+mn-ea"/>
                  <a:cs typeface="+mn-cs"/>
                </a:rPr>
                <a:t>𝑖 </a:t>
              </a:r>
              <a:r>
                <a:rPr lang="en-US" sz="1100" i="0" u="sng">
                  <a:solidFill>
                    <a:schemeClr val="dk1"/>
                  </a:solidFill>
                  <a:effectLst/>
                  <a:latin typeface="Cambria Math" panose="02040503050406030204" pitchFamily="18" charset="0"/>
                  <a:ea typeface="+mn-ea"/>
                  <a:cs typeface="+mn-cs"/>
                </a:rPr>
                <a:t>)</a:t>
              </a:r>
              <a:r>
                <a:rPr lang="en-US" sz="1100">
                  <a:solidFill>
                    <a:schemeClr val="dk1"/>
                  </a:solidFill>
                  <a:effectLst/>
                  <a:latin typeface="+mn-lt"/>
                  <a:ea typeface="+mn-ea"/>
                  <a:cs typeface="+mn-cs"/>
                </a:rPr>
                <a:t>	 		(2)</a:t>
              </a:r>
            </a:p>
            <a:p>
              <a:endParaRPr lang="en-US" sz="1100" baseline="0"/>
            </a:p>
            <a:p>
              <a:r>
                <a:rPr lang="en-US" sz="1100">
                  <a:solidFill>
                    <a:schemeClr val="dk1"/>
                  </a:solidFill>
                  <a:effectLst/>
                  <a:latin typeface="+mn-lt"/>
                  <a:ea typeface="+mn-ea"/>
                  <a:cs typeface="+mn-cs"/>
                </a:rPr>
                <a:t>Where </a:t>
              </a:r>
              <a:r>
                <a:rPr lang="en-US" sz="1100" b="1">
                  <a:solidFill>
                    <a:schemeClr val="dk1"/>
                  </a:solidFill>
                  <a:effectLst/>
                  <a:latin typeface="+mn-lt"/>
                  <a:ea typeface="+mn-ea"/>
                  <a:cs typeface="+mn-cs"/>
                </a:rPr>
                <a:t>Target_M</a:t>
              </a:r>
              <a:r>
                <a:rPr lang="en-US" sz="1100">
                  <a:solidFill>
                    <a:schemeClr val="dk1"/>
                  </a:solidFill>
                  <a:effectLst/>
                  <a:latin typeface="+mn-lt"/>
                  <a:ea typeface="+mn-ea"/>
                  <a:cs typeface="+mn-cs"/>
                </a:rPr>
                <a:t> is defined as the M as obtained from an external study, </a:t>
              </a:r>
              <a:r>
                <a:rPr lang="en-US" sz="1100" i="1">
                  <a:solidFill>
                    <a:schemeClr val="dk1"/>
                  </a:solidFill>
                  <a:effectLst/>
                  <a:latin typeface="+mn-lt"/>
                  <a:ea typeface="+mn-ea"/>
                  <a:cs typeface="+mn-cs"/>
                </a:rPr>
                <a:t>n </a:t>
              </a:r>
              <a:r>
                <a:rPr lang="en-US" sz="1100">
                  <a:solidFill>
                    <a:schemeClr val="dk1"/>
                  </a:solidFill>
                  <a:effectLst/>
                  <a:latin typeface="+mn-lt"/>
                  <a:ea typeface="+mn-ea"/>
                  <a:cs typeface="+mn-cs"/>
                </a:rPr>
                <a:t>is the number of exploited age classes and the summation of </a:t>
              </a:r>
              <a:r>
                <a:rPr lang="en-US" sz="1100" i="1">
                  <a:solidFill>
                    <a:schemeClr val="dk1"/>
                  </a:solidFill>
                  <a:effectLst/>
                  <a:latin typeface="+mn-lt"/>
                  <a:ea typeface="+mn-ea"/>
                  <a:cs typeface="+mn-cs"/>
                </a:rPr>
                <a:t>L</a:t>
              </a:r>
              <a:r>
                <a:rPr lang="en-US" sz="1100" i="1" baseline="-25000">
                  <a:solidFill>
                    <a:schemeClr val="dk1"/>
                  </a:solidFill>
                  <a:effectLst/>
                  <a:latin typeface="+mn-lt"/>
                  <a:ea typeface="+mn-ea"/>
                  <a:cs typeface="+mn-cs"/>
                </a:rPr>
                <a:t>i</a:t>
              </a:r>
              <a:r>
                <a:rPr lang="en-US" sz="1100" i="1">
                  <a:solidFill>
                    <a:schemeClr val="dk1"/>
                  </a:solidFill>
                  <a:effectLst/>
                  <a:latin typeface="+mn-lt"/>
                  <a:ea typeface="+mn-ea"/>
                  <a:cs typeface="+mn-cs"/>
                </a:rPr>
                <a:t> </a:t>
              </a:r>
              <a:r>
                <a:rPr lang="en-US" sz="1100">
                  <a:solidFill>
                    <a:schemeClr val="dk1"/>
                  </a:solidFill>
                  <a:effectLst/>
                  <a:latin typeface="+mn-lt"/>
                  <a:ea typeface="+mn-ea"/>
                  <a:cs typeface="+mn-cs"/>
                </a:rPr>
                <a:t>is from the age at first full recruitment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c</a:t>
              </a:r>
              <a:r>
                <a:rPr lang="en-US" sz="1100">
                  <a:solidFill>
                    <a:schemeClr val="dk1"/>
                  </a:solidFill>
                  <a:effectLst/>
                  <a:latin typeface="+mn-lt"/>
                  <a:ea typeface="+mn-ea"/>
                  <a:cs typeface="+mn-cs"/>
                </a:rPr>
                <a:t> to the maximum age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max</a:t>
              </a:r>
              <a:r>
                <a:rPr lang="en-US" sz="1100">
                  <a:solidFill>
                    <a:schemeClr val="dk1"/>
                  </a:solidFill>
                  <a:effectLst/>
                  <a:latin typeface="+mn-lt"/>
                  <a:ea typeface="+mn-ea"/>
                  <a:cs typeface="+mn-cs"/>
                </a:rPr>
                <a:t>.   The age at first full recruitment</a:t>
              </a:r>
              <a:r>
                <a:rPr lang="en-US" sz="1100" baseline="0">
                  <a:solidFill>
                    <a:schemeClr val="dk1"/>
                  </a:solidFill>
                  <a:effectLst/>
                  <a:latin typeface="+mn-lt"/>
                  <a:ea typeface="+mn-ea"/>
                  <a:cs typeface="+mn-cs"/>
                </a:rPr>
                <a:t>  (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c</a:t>
              </a:r>
              <a:r>
                <a:rPr lang="en-US" sz="1100">
                  <a:solidFill>
                    <a:schemeClr val="dk1"/>
                  </a:solidFill>
                  <a:effectLst/>
                  <a:latin typeface="+mn-lt"/>
                  <a:ea typeface="+mn-ea"/>
                  <a:cs typeface="+mn-cs"/>
                </a:rPr>
                <a:t> ) </a:t>
              </a:r>
              <a:r>
                <a:rPr lang="en-US" sz="1100" baseline="0">
                  <a:solidFill>
                    <a:schemeClr val="dk1"/>
                  </a:solidFill>
                  <a:effectLst/>
                  <a:latin typeface="+mn-lt"/>
                  <a:ea typeface="+mn-ea"/>
                  <a:cs typeface="+mn-cs"/>
                </a:rPr>
                <a:t>was  set at age 4 and </a:t>
              </a:r>
              <a:r>
                <a:rPr lang="en-US" sz="1100" b="1">
                  <a:solidFill>
                    <a:schemeClr val="dk1"/>
                  </a:solidFill>
                  <a:effectLst/>
                  <a:latin typeface="+mn-lt"/>
                  <a:ea typeface="+mn-ea"/>
                  <a:cs typeface="+mn-cs"/>
                </a:rPr>
                <a:t>Target_M</a:t>
              </a:r>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was obtained assuming a </a:t>
              </a:r>
              <a:r>
                <a:rPr lang="en-US" sz="1100" b="1" i="1">
                  <a:solidFill>
                    <a:schemeClr val="dk1"/>
                  </a:solidFill>
                  <a:effectLst/>
                  <a:latin typeface="+mn-lt"/>
                  <a:ea typeface="+mn-ea"/>
                  <a:cs typeface="+mn-cs"/>
                </a:rPr>
                <a:t>t</a:t>
              </a:r>
              <a:r>
                <a:rPr lang="en-US" sz="1100" b="1" i="1" baseline="-25000">
                  <a:solidFill>
                    <a:schemeClr val="dk1"/>
                  </a:solidFill>
                  <a:effectLst/>
                  <a:latin typeface="+mn-lt"/>
                  <a:ea typeface="+mn-ea"/>
                  <a:cs typeface="+mn-cs"/>
                </a:rPr>
                <a:t>max</a:t>
              </a:r>
              <a:r>
                <a:rPr lang="en-US" sz="1100" b="0" i="0" baseline="0">
                  <a:solidFill>
                    <a:schemeClr val="dk1"/>
                  </a:solidFill>
                  <a:effectLst/>
                  <a:latin typeface="+mn-lt"/>
                  <a:ea typeface="+mn-ea"/>
                  <a:cs typeface="+mn-cs"/>
                </a:rPr>
                <a:t> </a:t>
              </a:r>
              <a:r>
                <a:rPr lang="en-US" sz="1100" baseline="0">
                  <a:solidFill>
                    <a:schemeClr val="dk1"/>
                  </a:solidFill>
                  <a:effectLst/>
                  <a:latin typeface="+mn-lt"/>
                  <a:ea typeface="+mn-ea"/>
                  <a:cs typeface="+mn-cs"/>
                </a:rPr>
                <a:t>of 35 and using the Then et al (2016) estimator to give a value of 0.1887. A range of high (0.24) and low (0.14)  </a:t>
              </a:r>
              <a:r>
                <a:rPr lang="en-US" sz="1100" b="1">
                  <a:solidFill>
                    <a:schemeClr val="dk1"/>
                  </a:solidFill>
                  <a:effectLst/>
                  <a:latin typeface="+mn-lt"/>
                  <a:ea typeface="+mn-ea"/>
                  <a:cs typeface="+mn-cs"/>
                </a:rPr>
                <a:t>Target_M</a:t>
              </a:r>
              <a:r>
                <a:rPr lang="en-US" sz="1100">
                  <a:solidFill>
                    <a:schemeClr val="dk1"/>
                  </a:solidFill>
                  <a:effectLst/>
                  <a:latin typeface="+mn-lt"/>
                  <a:ea typeface="+mn-ea"/>
                  <a:cs typeface="+mn-cs"/>
                </a:rPr>
                <a:t> was used to</a:t>
              </a:r>
              <a:r>
                <a:rPr lang="en-US" sz="1100" baseline="0">
                  <a:solidFill>
                    <a:schemeClr val="dk1"/>
                  </a:solidFill>
                  <a:effectLst/>
                  <a:latin typeface="+mn-lt"/>
                  <a:ea typeface="+mn-ea"/>
                  <a:cs typeface="+mn-cs"/>
                </a:rPr>
                <a:t> provide an upper and lower range for  </a:t>
              </a:r>
              <a:r>
                <a:rPr lang="en-US" sz="1100" b="1">
                  <a:solidFill>
                    <a:schemeClr val="dk1"/>
                  </a:solidFill>
                  <a:effectLst/>
                  <a:latin typeface="+mn-lt"/>
                  <a:ea typeface="+mn-ea"/>
                  <a:cs typeface="+mn-cs"/>
                </a:rPr>
                <a:t>Target_M</a:t>
              </a:r>
              <a:r>
                <a:rPr lang="en-US" sz="1100" b="0">
                  <a:solidFill>
                    <a:schemeClr val="dk1"/>
                  </a:solidFill>
                  <a:effectLst/>
                  <a:latin typeface="+mn-lt"/>
                  <a:ea typeface="+mn-ea"/>
                  <a:cs typeface="+mn-cs"/>
                </a:rPr>
                <a:t>.</a:t>
              </a:r>
              <a:endParaRPr lang="en-US" sz="1100" baseline="0">
                <a:solidFill>
                  <a:schemeClr val="dk1"/>
                </a:solidFill>
                <a:effectLst/>
                <a:latin typeface="+mn-lt"/>
                <a:ea typeface="+mn-ea"/>
                <a:cs typeface="+mn-cs"/>
              </a:endParaRPr>
            </a:p>
            <a:p>
              <a:r>
                <a:rPr lang="en-US"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method requires assuming a length-weight relationship and length</a:t>
              </a:r>
              <a:r>
                <a:rPr lang="en-US" sz="1100" baseline="0">
                  <a:solidFill>
                    <a:schemeClr val="dk1"/>
                  </a:solidFill>
                  <a:effectLst/>
                  <a:latin typeface="+mn-lt"/>
                  <a:ea typeface="+mn-ea"/>
                  <a:cs typeface="+mn-cs"/>
                </a:rPr>
                <a:t> at age. The length weight relationship comes from the ICCAT RWT~SFL relationship (Rodriguez-Marin et al. 2015) for all the Eastern Atlantic over all months (alpha= </a:t>
              </a:r>
              <a:r>
                <a:rPr lang="en-US" sz="1100" b="0" i="0" u="none" strike="noStrike">
                  <a:solidFill>
                    <a:schemeClr val="dk1"/>
                  </a:solidFill>
                  <a:effectLst/>
                  <a:latin typeface="+mn-lt"/>
                  <a:ea typeface="+mn-ea"/>
                  <a:cs typeface="+mn-cs"/>
                </a:rPr>
                <a:t>0.000035080</a:t>
              </a:r>
              <a:r>
                <a:rPr lang="en-US"/>
                <a:t> , </a:t>
              </a:r>
              <a:r>
                <a:rPr lang="en-US" sz="1100" baseline="0">
                  <a:solidFill>
                    <a:schemeClr val="dk1"/>
                  </a:solidFill>
                  <a:effectLst/>
                  <a:latin typeface="+mn-lt"/>
                  <a:ea typeface="+mn-ea"/>
                  <a:cs typeface="+mn-cs"/>
                </a:rPr>
                <a:t>; beta=</a:t>
              </a:r>
              <a:r>
                <a:rPr lang="en-US" sz="1100" b="0" i="0">
                  <a:solidFill>
                    <a:schemeClr val="dk1"/>
                  </a:solidFill>
                  <a:effectLst/>
                  <a:latin typeface="+mn-lt"/>
                  <a:ea typeface="+mn-ea"/>
                  <a:cs typeface="+mn-cs"/>
                </a:rPr>
                <a:t>2.878451000.</a:t>
              </a:r>
              <a:r>
                <a:rPr lang="en-US" sz="1100" b="0" i="0" baseline="0">
                  <a:solidFill>
                    <a:schemeClr val="dk1"/>
                  </a:solidFill>
                  <a:effectLst/>
                  <a:latin typeface="+mn-lt"/>
                  <a:ea typeface="+mn-ea"/>
                  <a:cs typeface="+mn-cs"/>
                </a:rPr>
                <a:t> This was done due to larger population size in the East, though the two relationships are similar. Length at age was obtained using the Ailloud et al (2017) growth curve obtained for the Western stock with a Richards model. </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Two more adjustments were required to obtain the M corresponding to the ages in the VPA modeling. These are an offset related to the timing of the year in the VPA and an offset of half of a year was used to adjust ages forward to mid-year age. An additional shift  was used to adjust the ages back 180 days to account for an assumed June 1 birthdate. </a:t>
              </a: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resulting M-vector with upper and lower estimates indicates that the M is substantially higher than the previous estimates for both Eastern and Western BFT particularly for ages 1-10 (Table XXX, Figure XXX).  In contrast, use of the Hoenig (1983) estimate of M from Tmax would make the natural mortality vector quite similar to the previously used  estimates.</a:t>
              </a:r>
              <a:endParaRPr lang="en-US">
                <a:effectLst/>
              </a:endParaRPr>
            </a:p>
            <a:p>
              <a:endParaRPr lang="en-US" sz="1100" baseline="0">
                <a:solidFill>
                  <a:schemeClr val="dk1"/>
                </a:solidFill>
                <a:effectLst/>
                <a:latin typeface="+mn-lt"/>
                <a:ea typeface="+mn-ea"/>
                <a:cs typeface="+mn-cs"/>
              </a:endParaRPr>
            </a:p>
            <a:p>
              <a:endParaRPr lang="en-US" sz="1100" baseline="0"/>
            </a:p>
            <a:p>
              <a:r>
                <a:rPr lang="en-US" sz="1100" b="1" baseline="0"/>
                <a:t>Literature:</a:t>
              </a:r>
            </a:p>
            <a:p>
              <a:r>
                <a:rPr lang="en-US" sz="1100" baseline="0"/>
                <a:t>Ailloud. L. </a:t>
              </a:r>
              <a:r>
                <a:rPr lang="en-US" sz="1100" b="0" i="0" u="none" strike="noStrike" baseline="0" smtClean="0">
                  <a:solidFill>
                    <a:schemeClr val="dk1"/>
                  </a:solidFill>
                  <a:latin typeface="+mn-lt"/>
                  <a:ea typeface="+mn-ea"/>
                  <a:cs typeface="+mn-cs"/>
                </a:rPr>
                <a:t>M. V. Lauretta, A.R. Hanke, W. J. Golet, R. J. Allman, M. R. Siskey, D. H. Secor, J.  M. Hoenig. </a:t>
              </a:r>
              <a:r>
                <a:rPr lang="en-US" sz="1100" baseline="0"/>
                <a:t>2017. </a:t>
              </a:r>
              <a:r>
                <a:rPr lang="en-US" sz="1100" b="0" i="0" u="none" strike="noStrike" baseline="0" smtClean="0">
                  <a:solidFill>
                    <a:schemeClr val="dk1"/>
                  </a:solidFill>
                  <a:latin typeface="+mn-lt"/>
                  <a:ea typeface="+mn-ea"/>
                  <a:cs typeface="+mn-cs"/>
                </a:rPr>
                <a:t>Improving growth estimates for Western Atlantic bluefin tuna using an integrated</a:t>
              </a:r>
            </a:p>
            <a:p>
              <a:r>
                <a:rPr lang="en-US" sz="1100" b="0" i="0" u="none" strike="noStrike" baseline="0" smtClean="0">
                  <a:solidFill>
                    <a:schemeClr val="dk1"/>
                  </a:solidFill>
                  <a:latin typeface="+mn-lt"/>
                  <a:ea typeface="+mn-ea"/>
                  <a:cs typeface="+mn-cs"/>
                </a:rPr>
                <a:t>modeling approach. Fisheries Research. </a:t>
              </a:r>
              <a:endParaRPr lang="en-US" sz="1100" baseline="0"/>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Hoenig, J. M. 1983. Empirical use of longevity data to estimate mortality rates. Fishery Bulletin, 82: 898–903.</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Porch.</a:t>
              </a:r>
              <a:r>
                <a:rPr lang="en-US" sz="1100" baseline="0">
                  <a:solidFill>
                    <a:schemeClr val="dk1"/>
                  </a:solidFill>
                  <a:effectLst/>
                  <a:latin typeface="+mn-lt"/>
                  <a:ea typeface="+mn-ea"/>
                  <a:cs typeface="+mn-cs"/>
                </a:rPr>
                <a:t> C. </a:t>
              </a:r>
              <a:r>
                <a:rPr lang="en-US" sz="1100">
                  <a:solidFill>
                    <a:schemeClr val="dk1"/>
                  </a:solidFill>
                  <a:effectLst/>
                  <a:latin typeface="+mn-lt"/>
                  <a:ea typeface="+mn-ea"/>
                  <a:cs typeface="+mn-cs"/>
                </a:rPr>
                <a:t>2011</a:t>
              </a:r>
              <a:r>
                <a:rPr lang="en-US" sz="1100" i="1">
                  <a:solidFill>
                    <a:schemeClr val="dk1"/>
                  </a:solidFill>
                  <a:effectLst/>
                  <a:latin typeface="+mn-lt"/>
                  <a:ea typeface="+mn-ea"/>
                  <a:cs typeface="+mn-cs"/>
                </a:rPr>
                <a:t> in</a:t>
              </a:r>
              <a:r>
                <a:rPr lang="en-US" sz="1100">
                  <a:solidFill>
                    <a:schemeClr val="dk1"/>
                  </a:solidFill>
                  <a:effectLst/>
                  <a:latin typeface="+mn-lt"/>
                  <a:ea typeface="+mn-ea"/>
                  <a:cs typeface="+mn-cs"/>
                </a:rPr>
                <a:t> Brodziak, J., J. Ianelli, K. Lorenzen, and R.D. Methot Jr. (eds). 2011. Estimating natural </a:t>
              </a:r>
            </a:p>
            <a:p>
              <a:r>
                <a:rPr lang="en-US" sz="1100">
                  <a:solidFill>
                    <a:schemeClr val="dk1"/>
                  </a:solidFill>
                  <a:effectLst/>
                  <a:latin typeface="+mn-lt"/>
                  <a:ea typeface="+mn-ea"/>
                  <a:cs typeface="+mn-cs"/>
                </a:rPr>
                <a:t>mortality in stock assessment applications. U.S. Dep. Commer., NOAA Tech. Memo. NMFS-F/SPO-119, 38 p.</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Lorenzen, K. 1996. The relationship between body weight and natural mortality in juvenile and adult fish: a comparison of natural ecosystems and aquaculture. Journal of Fish Biology 49:627-642.</a:t>
              </a:r>
              <a:endParaRPr lang="en-US" sz="1100">
                <a:solidFill>
                  <a:schemeClr val="dk1"/>
                </a:solidFill>
                <a:effectLst/>
                <a:latin typeface="+mn-lt"/>
                <a:ea typeface="+mn-ea"/>
                <a:cs typeface="+mn-cs"/>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Lorenzen, K. (2005) Population dynamics and potential of fisheries stock enhancement: practical theory for assessment and policy analysis. Philosophical Transactions of the Royal Society of London. Fisheries Theme Issue </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Rodriguez-Marin E, Ortiz M, Ortiz de Urbina J.M., Quelle P, Walter J, Abid N, et al. (2015) Atlantic bluefin tuna (Thunnus thynnus). Biometrics and Condition.</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PLoS ONE 10(10): e0141478.doi:10.1371/journal.pone.0141478</a:t>
              </a:r>
            </a:p>
            <a:p>
              <a:pPr marL="0" marR="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Then, A. Y., Hoenig, J. M., Hall, N. G., and Hewitt, D. A. 2015. Evaluating the predictive performance of empirical estimators of natural mortality rate using information on over 200 fish species. ICES Journal of Marine Science, 72: 82–92.</a:t>
              </a:r>
              <a:endParaRPr lang="en-US" sz="1100">
                <a:solidFill>
                  <a:schemeClr val="dk1"/>
                </a:solidFill>
                <a:effectLst/>
                <a:latin typeface="+mn-lt"/>
                <a:ea typeface="+mn-ea"/>
                <a:cs typeface="+mn-cs"/>
              </a:endParaRPr>
            </a:p>
            <a:p>
              <a:endParaRPr lang="en-US" sz="1100"/>
            </a:p>
            <a:p>
              <a:endParaRPr lang="en-US" sz="1100"/>
            </a:p>
          </xdr:txBody>
        </xdr:sp>
      </mc:Fallback>
    </mc:AlternateContent>
    <xdr:clientData/>
  </xdr:twoCellAnchor>
  <xdr:twoCellAnchor>
    <xdr:from>
      <xdr:col>8</xdr:col>
      <xdr:colOff>489857</xdr:colOff>
      <xdr:row>36</xdr:row>
      <xdr:rowOff>108857</xdr:rowOff>
    </xdr:from>
    <xdr:to>
      <xdr:col>23</xdr:col>
      <xdr:colOff>544286</xdr:colOff>
      <xdr:row>42</xdr:row>
      <xdr:rowOff>163285</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715000" y="7116536"/>
          <a:ext cx="8586107" cy="1197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Figure</a:t>
          </a:r>
          <a:r>
            <a:rPr lang="en-US" sz="1100" baseline="0"/>
            <a:t> 2.x.x. Scaled natural mortality at age for assuming a target M of 0.19 from the Then et al study, Richards growth model and the EBFT length-weight relationship with lower (0.14) and </a:t>
          </a:r>
          <a:r>
            <a:rPr lang="en-US" sz="1100" baseline="0">
              <a:solidFill>
                <a:schemeClr val="dk1"/>
              </a:solidFill>
              <a:effectLst/>
              <a:latin typeface="+mn-lt"/>
              <a:ea typeface="+mn-ea"/>
              <a:cs typeface="+mn-cs"/>
            </a:rPr>
            <a:t>upper</a:t>
          </a:r>
          <a:r>
            <a:rPr lang="en-US" sz="1100" baseline="0"/>
            <a:t> (0.24) range of target M. Previous EBFT and WBFT natural mortality vectors shown for comparison as is a vector derived from Hoenig (1983) </a:t>
          </a:r>
          <a:endParaRPr lang="en-US" sz="1100"/>
        </a:p>
      </xdr:txBody>
    </xdr:sp>
    <xdr:clientData/>
  </xdr:twoCellAnchor>
  <xdr:twoCellAnchor>
    <xdr:from>
      <xdr:col>24</xdr:col>
      <xdr:colOff>81642</xdr:colOff>
      <xdr:row>5</xdr:row>
      <xdr:rowOff>138545</xdr:rowOff>
    </xdr:from>
    <xdr:to>
      <xdr:col>40</xdr:col>
      <xdr:colOff>17318</xdr:colOff>
      <xdr:row>41</xdr:row>
      <xdr:rowOff>72984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0</xdr:colOff>
      <xdr:row>56</xdr:row>
      <xdr:rowOff>0</xdr:rowOff>
    </xdr:from>
    <xdr:to>
      <xdr:col>49</xdr:col>
      <xdr:colOff>541813</xdr:colOff>
      <xdr:row>91</xdr:row>
      <xdr:rowOff>124939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109</xdr:row>
      <xdr:rowOff>0</xdr:rowOff>
    </xdr:from>
    <xdr:to>
      <xdr:col>11</xdr:col>
      <xdr:colOff>0</xdr:colOff>
      <xdr:row>132</xdr:row>
      <xdr:rowOff>0</xdr:rowOff>
    </xdr:to>
    <xdr:graphicFrame macro="">
      <xdr:nvGraphicFramePr>
        <xdr:cNvPr id="11" name="グラフ 10">
          <a:extLst>
            <a:ext uri="{FF2B5EF4-FFF2-40B4-BE49-F238E27FC236}">
              <a16:creationId xmlns:a16="http://schemas.microsoft.com/office/drawing/2014/main" id="{6505F01B-C6C5-4E23-B64B-0BE66CC06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450272</xdr:colOff>
      <xdr:row>27</xdr:row>
      <xdr:rowOff>161058</xdr:rowOff>
    </xdr:from>
    <xdr:to>
      <xdr:col>30</xdr:col>
      <xdr:colOff>173181</xdr:colOff>
      <xdr:row>42</xdr:row>
      <xdr:rowOff>46758</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284513</xdr:colOff>
      <xdr:row>14</xdr:row>
      <xdr:rowOff>71748</xdr:rowOff>
    </xdr:from>
    <xdr:to>
      <xdr:col>16</xdr:col>
      <xdr:colOff>0</xdr:colOff>
      <xdr:row>16</xdr:row>
      <xdr:rowOff>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2371738" y="2748273"/>
          <a:ext cx="448912" cy="3092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Calcs</a:t>
          </a:r>
        </a:p>
      </xdr:txBody>
    </xdr:sp>
    <xdr:clientData/>
  </xdr:twoCellAnchor>
  <xdr:twoCellAnchor>
    <xdr:from>
      <xdr:col>14</xdr:col>
      <xdr:colOff>367392</xdr:colOff>
      <xdr:row>14</xdr:row>
      <xdr:rowOff>81644</xdr:rowOff>
    </xdr:from>
    <xdr:to>
      <xdr:col>15</xdr:col>
      <xdr:colOff>0</xdr:colOff>
      <xdr:row>15</xdr:row>
      <xdr:rowOff>81644</xdr:rowOff>
    </xdr:to>
    <xdr:cxnSp macro="">
      <xdr:nvCxnSpPr>
        <xdr:cNvPr id="8" name="Straight Arrow Connector 7">
          <a:extLst>
            <a:ext uri="{FF2B5EF4-FFF2-40B4-BE49-F238E27FC236}">
              <a16:creationId xmlns:a16="http://schemas.microsoft.com/office/drawing/2014/main" id="{00000000-0008-0000-0200-000008000000}"/>
            </a:ext>
          </a:extLst>
        </xdr:cNvPr>
        <xdr:cNvCxnSpPr/>
      </xdr:nvCxnSpPr>
      <xdr:spPr>
        <a:xfrm>
          <a:off x="10721067" y="2758169"/>
          <a:ext cx="857250" cy="190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285748</xdr:colOff>
      <xdr:row>9</xdr:row>
      <xdr:rowOff>176894</xdr:rowOff>
    </xdr:from>
    <xdr:to>
      <xdr:col>13</xdr:col>
      <xdr:colOff>108858</xdr:colOff>
      <xdr:row>31</xdr:row>
      <xdr:rowOff>81644</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5007427" y="1891394"/>
          <a:ext cx="6477002" cy="409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ProgLabel_17.1.2.2  case 2:  lorenzen M</a:t>
          </a:r>
        </a:p>
        <a:p>
          <a:r>
            <a:rPr lang="en-US" sz="1100"/>
            <a:t>          case 2:  //  Lorenzen M</a:t>
          </a:r>
        </a:p>
        <a:p>
          <a:r>
            <a:rPr lang="en-US" sz="1100"/>
            <a:t>          {</a:t>
          </a:r>
        </a:p>
        <a:p>
          <a:r>
            <a:rPr lang="en-US" sz="1100"/>
            <a:t>            Loren_temp2=L_inf(gp)*(mfexp(-VBK(gp)*VBK_seas(0))-1.);   // need to verify ue of VBK_seas here</a:t>
          </a:r>
        </a:p>
        <a:p>
          <a:r>
            <a:rPr lang="en-US" sz="1100"/>
            <a:t>            t=styr+(yz-styr)*nseas+Bseas(g)-1;</a:t>
          </a:r>
        </a:p>
        <a:p>
          <a:r>
            <a:rPr lang="en-US" sz="1100"/>
            <a:t>            Loren_temp=Ave_Size(styr,1,g,int(natM_amin));  // uses mean size in middle of season 1 for the reference age</a:t>
          </a:r>
        </a:p>
        <a:p>
          <a:r>
            <a:rPr lang="en-US" sz="1100"/>
            <a:t>            Loren_M1=natMparms(1,gp)/log(Loren_temp/(Loren_temp+Loren_temp2));</a:t>
          </a:r>
        </a:p>
        <a:p>
          <a:r>
            <a:rPr lang="en-US" sz="1100"/>
            <a:t>            for(s=nseas;s&gt;=1;s--)</a:t>
          </a:r>
        </a:p>
        <a:p>
          <a:r>
            <a:rPr lang="en-US" sz="1100"/>
            <a:t>            {</a:t>
          </a:r>
        </a:p>
        <a:p>
          <a:r>
            <a:rPr lang="en-US" sz="1100"/>
            <a:t>              smid=s+nseas;    //  mid-season size-at-age is stored in season s+nseas</a:t>
          </a:r>
        </a:p>
        <a:p>
          <a:r>
            <a:rPr lang="en-US" sz="1100"/>
            <a:t>              for (a=nages; a&gt;=0;a--)</a:t>
          </a:r>
        </a:p>
        <a:p>
          <a:r>
            <a:rPr lang="en-US" sz="1100"/>
            <a:t>              {</a:t>
          </a:r>
        </a:p>
        <a:p>
          <a:r>
            <a:rPr lang="en-US" sz="1100"/>
            <a:t>                if(a==0 &amp;&amp; s&lt;Bseas(g))</a:t>
          </a:r>
        </a:p>
        <a:p>
          <a:r>
            <a:rPr lang="en-US" sz="1100"/>
            <a:t>                {natM(s,gg,a)=natM(s+1,gg,a);}</a:t>
          </a:r>
        </a:p>
        <a:p>
          <a:r>
            <a:rPr lang="en-US" sz="1100"/>
            <a:t>                else</a:t>
          </a:r>
        </a:p>
        <a:p>
          <a:r>
            <a:rPr lang="en-US" sz="1100"/>
            <a:t>                {natM(s,gg,a)=log(Ave_Size(t,1,g,a)/(Ave_Size(t,1,g,a)+Loren_temp2))*Loren_M1;}</a:t>
          </a:r>
        </a:p>
        <a:p>
          <a:r>
            <a:rPr lang="en-US" sz="1100"/>
            <a:t>                surv1(s,gg,a)=mfexp(-natM(s,gg,a)*seasdur2(s));</a:t>
          </a:r>
        </a:p>
        <a:p>
          <a:r>
            <a:rPr lang="en-US" sz="1100"/>
            <a:t>                surv2(s,gg,a)=square(surv1(s,gg,a));</a:t>
          </a:r>
        </a:p>
        <a:p>
          <a:r>
            <a:rPr lang="en-US" sz="1100"/>
            <a:t>              }   // end age loop</a:t>
          </a:r>
        </a:p>
        <a:p>
          <a:r>
            <a:rPr lang="en-US" sz="1100"/>
            <a:t>            }</a:t>
          </a:r>
        </a:p>
        <a:p>
          <a:r>
            <a:rPr lang="en-US" sz="1100"/>
            <a:t>            break;</a:t>
          </a:r>
        </a:p>
        <a:p>
          <a:r>
            <a:rPr lang="en-US" sz="1100"/>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299356</xdr:colOff>
      <xdr:row>3</xdr:row>
      <xdr:rowOff>122465</xdr:rowOff>
    </xdr:from>
    <xdr:to>
      <xdr:col>23</xdr:col>
      <xdr:colOff>530678</xdr:colOff>
      <xdr:row>9</xdr:row>
      <xdr:rowOff>136072</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34431" y="693965"/>
          <a:ext cx="3888922" cy="1156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concept is that M is scaled</a:t>
          </a:r>
          <a:r>
            <a:rPr lang="en-US" sz="1100" baseline="0"/>
            <a:t> according to the Lorenzen scaling of M with weight of fish (Lorenzen 2000). Then this M is only applied to the 'selected ages' and then rescaled so that the average M for these ages (e.g. ages 0,1,2, etc to the max age) equals the reference M.  </a:t>
          </a:r>
          <a:endParaRPr lang="en-US" sz="1100"/>
        </a:p>
      </xdr:txBody>
    </xdr:sp>
    <xdr:clientData/>
  </xdr:twoCellAnchor>
  <xdr:twoCellAnchor editAs="oneCell">
    <xdr:from>
      <xdr:col>10</xdr:col>
      <xdr:colOff>395408</xdr:colOff>
      <xdr:row>45</xdr:row>
      <xdr:rowOff>14405</xdr:rowOff>
    </xdr:from>
    <xdr:to>
      <xdr:col>21</xdr:col>
      <xdr:colOff>30256</xdr:colOff>
      <xdr:row>66</xdr:row>
      <xdr:rowOff>12004</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5508" y="8605955"/>
          <a:ext cx="7588223" cy="3998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830036</xdr:colOff>
      <xdr:row>0</xdr:row>
      <xdr:rowOff>164502</xdr:rowOff>
    </xdr:from>
    <xdr:to>
      <xdr:col>6</xdr:col>
      <xdr:colOff>789214</xdr:colOff>
      <xdr:row>3</xdr:row>
      <xdr:rowOff>136071</xdr:rowOff>
    </xdr:to>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1636" y="164502"/>
          <a:ext cx="3350078" cy="5430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231320</xdr:colOff>
      <xdr:row>30</xdr:row>
      <xdr:rowOff>54427</xdr:rowOff>
    </xdr:from>
    <xdr:to>
      <xdr:col>22</xdr:col>
      <xdr:colOff>503464</xdr:colOff>
      <xdr:row>44</xdr:row>
      <xdr:rowOff>58507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734785</xdr:colOff>
      <xdr:row>15</xdr:row>
      <xdr:rowOff>27215</xdr:rowOff>
    </xdr:from>
    <xdr:to>
      <xdr:col>22</xdr:col>
      <xdr:colOff>176894</xdr:colOff>
      <xdr:row>34</xdr:row>
      <xdr:rowOff>27214</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299356</xdr:colOff>
      <xdr:row>3</xdr:row>
      <xdr:rowOff>122465</xdr:rowOff>
    </xdr:from>
    <xdr:to>
      <xdr:col>23</xdr:col>
      <xdr:colOff>530678</xdr:colOff>
      <xdr:row>9</xdr:row>
      <xdr:rowOff>136072</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6954499" y="693965"/>
          <a:ext cx="3905250" cy="1156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concept is that M is scaled</a:t>
          </a:r>
          <a:r>
            <a:rPr lang="en-US" sz="1100" baseline="0"/>
            <a:t> according to the Lorenzen scaling of M with weight of fish (Lorenzen 2000). Then this M is only applied to the 'selected ages' and then rescaled so that the average M for these ages (e.g. ages 0,1,2, etc to the max age) equals the reference M.  </a:t>
          </a:r>
          <a:endParaRPr lang="en-US" sz="1100"/>
        </a:p>
      </xdr:txBody>
    </xdr:sp>
    <xdr:clientData/>
  </xdr:twoCellAnchor>
  <xdr:twoCellAnchor editAs="oneCell">
    <xdr:from>
      <xdr:col>10</xdr:col>
      <xdr:colOff>395408</xdr:colOff>
      <xdr:row>45</xdr:row>
      <xdr:rowOff>14405</xdr:rowOff>
    </xdr:from>
    <xdr:to>
      <xdr:col>21</xdr:col>
      <xdr:colOff>30256</xdr:colOff>
      <xdr:row>66</xdr:row>
      <xdr:rowOff>12004</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6051" y="8614119"/>
          <a:ext cx="7608634" cy="3998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830036</xdr:colOff>
      <xdr:row>0</xdr:row>
      <xdr:rowOff>164502</xdr:rowOff>
    </xdr:from>
    <xdr:to>
      <xdr:col>6</xdr:col>
      <xdr:colOff>789214</xdr:colOff>
      <xdr:row>3</xdr:row>
      <xdr:rowOff>136071</xdr:rowOff>
    </xdr:to>
    <xdr:pic>
      <xdr:nvPicPr>
        <xdr:cNvPr id="6" name="Picture 5">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4357" y="164502"/>
          <a:ext cx="3333750" cy="5430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231320</xdr:colOff>
      <xdr:row>30</xdr:row>
      <xdr:rowOff>54427</xdr:rowOff>
    </xdr:from>
    <xdr:to>
      <xdr:col>22</xdr:col>
      <xdr:colOff>503464</xdr:colOff>
      <xdr:row>44</xdr:row>
      <xdr:rowOff>58507</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734785</xdr:colOff>
      <xdr:row>15</xdr:row>
      <xdr:rowOff>27215</xdr:rowOff>
    </xdr:from>
    <xdr:to>
      <xdr:col>22</xdr:col>
      <xdr:colOff>176894</xdr:colOff>
      <xdr:row>34</xdr:row>
      <xdr:rowOff>27214</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299356</xdr:colOff>
      <xdr:row>3</xdr:row>
      <xdr:rowOff>122465</xdr:rowOff>
    </xdr:from>
    <xdr:to>
      <xdr:col>23</xdr:col>
      <xdr:colOff>530678</xdr:colOff>
      <xdr:row>9</xdr:row>
      <xdr:rowOff>136072</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4234431" y="693965"/>
          <a:ext cx="3888922" cy="1156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concept is that M is scaled</a:t>
          </a:r>
          <a:r>
            <a:rPr lang="en-US" sz="1100" baseline="0"/>
            <a:t> according to the Lorenzen scaling of M with weight of fish (Lorenzen 2000). Then this M is only applied to the 'selected ages' and then rescaled so that the average M for these ages (e.g. ages 0,1,2, etc to the max age) equals the reference M.  </a:t>
          </a:r>
          <a:endParaRPr lang="en-US" sz="1100"/>
        </a:p>
      </xdr:txBody>
    </xdr:sp>
    <xdr:clientData/>
  </xdr:twoCellAnchor>
  <xdr:twoCellAnchor editAs="oneCell">
    <xdr:from>
      <xdr:col>10</xdr:col>
      <xdr:colOff>395408</xdr:colOff>
      <xdr:row>45</xdr:row>
      <xdr:rowOff>14405</xdr:rowOff>
    </xdr:from>
    <xdr:to>
      <xdr:col>21</xdr:col>
      <xdr:colOff>30256</xdr:colOff>
      <xdr:row>66</xdr:row>
      <xdr:rowOff>12004</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5508" y="8605955"/>
          <a:ext cx="7588223" cy="3998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830036</xdr:colOff>
      <xdr:row>0</xdr:row>
      <xdr:rowOff>164502</xdr:rowOff>
    </xdr:from>
    <xdr:to>
      <xdr:col>6</xdr:col>
      <xdr:colOff>789214</xdr:colOff>
      <xdr:row>4</xdr:row>
      <xdr:rowOff>81643</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1636" y="164502"/>
          <a:ext cx="3350078" cy="67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775606</xdr:colOff>
      <xdr:row>29</xdr:row>
      <xdr:rowOff>95249</xdr:rowOff>
    </xdr:from>
    <xdr:to>
      <xdr:col>20</xdr:col>
      <xdr:colOff>394607</xdr:colOff>
      <xdr:row>43</xdr:row>
      <xdr:rowOff>99329</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707570</xdr:colOff>
      <xdr:row>10</xdr:row>
      <xdr:rowOff>68037</xdr:rowOff>
    </xdr:from>
    <xdr:to>
      <xdr:col>20</xdr:col>
      <xdr:colOff>435429</xdr:colOff>
      <xdr:row>29</xdr:row>
      <xdr:rowOff>54429</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419901</xdr:colOff>
      <xdr:row>45</xdr:row>
      <xdr:rowOff>6241</xdr:rowOff>
    </xdr:from>
    <xdr:to>
      <xdr:col>21</xdr:col>
      <xdr:colOff>54749</xdr:colOff>
      <xdr:row>66</xdr:row>
      <xdr:rowOff>3840</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5508" y="8605955"/>
          <a:ext cx="7608634" cy="3998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17</xdr:col>
      <xdr:colOff>299356</xdr:colOff>
      <xdr:row>3</xdr:row>
      <xdr:rowOff>122465</xdr:rowOff>
    </xdr:from>
    <xdr:to>
      <xdr:col>23</xdr:col>
      <xdr:colOff>530678</xdr:colOff>
      <xdr:row>9</xdr:row>
      <xdr:rowOff>136072</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4234431" y="693965"/>
          <a:ext cx="3888922" cy="1156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concept is that M is scaled</a:t>
          </a:r>
          <a:r>
            <a:rPr lang="en-US" sz="1100" baseline="0"/>
            <a:t> according to the Lorenzen scaling of M with weight of fish (Lorenzen 2000). Then this M is only applied to the 'selected ages' and then rescaled so that the average M for these ages (e.g. ages 0,1,2, etc to the max age) equals the reference M.  </a:t>
          </a:r>
          <a:endParaRPr lang="en-US" sz="1100"/>
        </a:p>
      </xdr:txBody>
    </xdr:sp>
    <xdr:clientData/>
  </xdr:twoCellAnchor>
  <xdr:twoCellAnchor editAs="oneCell">
    <xdr:from>
      <xdr:col>10</xdr:col>
      <xdr:colOff>395408</xdr:colOff>
      <xdr:row>45</xdr:row>
      <xdr:rowOff>14405</xdr:rowOff>
    </xdr:from>
    <xdr:to>
      <xdr:col>21</xdr:col>
      <xdr:colOff>30256</xdr:colOff>
      <xdr:row>66</xdr:row>
      <xdr:rowOff>12004</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5508" y="8605955"/>
          <a:ext cx="7588223" cy="3998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830036</xdr:colOff>
      <xdr:row>0</xdr:row>
      <xdr:rowOff>164502</xdr:rowOff>
    </xdr:from>
    <xdr:to>
      <xdr:col>6</xdr:col>
      <xdr:colOff>789214</xdr:colOff>
      <xdr:row>4</xdr:row>
      <xdr:rowOff>81643</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1636" y="164502"/>
          <a:ext cx="3350078" cy="67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557892</xdr:colOff>
      <xdr:row>29</xdr:row>
      <xdr:rowOff>149678</xdr:rowOff>
    </xdr:from>
    <xdr:to>
      <xdr:col>21</xdr:col>
      <xdr:colOff>503464</xdr:colOff>
      <xdr:row>43</xdr:row>
      <xdr:rowOff>153758</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707570</xdr:colOff>
      <xdr:row>10</xdr:row>
      <xdr:rowOff>68037</xdr:rowOff>
    </xdr:from>
    <xdr:to>
      <xdr:col>20</xdr:col>
      <xdr:colOff>435429</xdr:colOff>
      <xdr:row>29</xdr:row>
      <xdr:rowOff>54429</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419901</xdr:colOff>
      <xdr:row>45</xdr:row>
      <xdr:rowOff>6241</xdr:rowOff>
    </xdr:from>
    <xdr:to>
      <xdr:col>21</xdr:col>
      <xdr:colOff>54749</xdr:colOff>
      <xdr:row>66</xdr:row>
      <xdr:rowOff>3840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40001" y="8597791"/>
          <a:ext cx="7588223" cy="3998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17</xdr:col>
      <xdr:colOff>299356</xdr:colOff>
      <xdr:row>3</xdr:row>
      <xdr:rowOff>122465</xdr:rowOff>
    </xdr:from>
    <xdr:to>
      <xdr:col>23</xdr:col>
      <xdr:colOff>530678</xdr:colOff>
      <xdr:row>9</xdr:row>
      <xdr:rowOff>136072</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968106" y="693965"/>
          <a:ext cx="3888922" cy="1156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concept is that M is scaled</a:t>
          </a:r>
          <a:r>
            <a:rPr lang="en-US" sz="1100" baseline="0"/>
            <a:t> according to the Lorenzen scaling of M with weight of fish (Lorenzen 2000). Then this M is only applied to the 'selected ages' and then rescaled so that the average M for these ages (e.g. ages 0,1,2, etc to the max age) equals the reference M.  </a:t>
          </a:r>
          <a:endParaRPr lang="en-US" sz="1100"/>
        </a:p>
      </xdr:txBody>
    </xdr:sp>
    <xdr:clientData/>
  </xdr:twoCellAnchor>
  <xdr:twoCellAnchor editAs="oneCell">
    <xdr:from>
      <xdr:col>10</xdr:col>
      <xdr:colOff>395408</xdr:colOff>
      <xdr:row>45</xdr:row>
      <xdr:rowOff>14405</xdr:rowOff>
    </xdr:from>
    <xdr:to>
      <xdr:col>21</xdr:col>
      <xdr:colOff>30256</xdr:colOff>
      <xdr:row>66</xdr:row>
      <xdr:rowOff>12004</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9183" y="8605955"/>
          <a:ext cx="7588223" cy="3998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27215</xdr:colOff>
      <xdr:row>6</xdr:row>
      <xdr:rowOff>55645</xdr:rowOff>
    </xdr:from>
    <xdr:to>
      <xdr:col>1</xdr:col>
      <xdr:colOff>3360965</xdr:colOff>
      <xdr:row>9</xdr:row>
      <xdr:rowOff>163286</xdr:rowOff>
    </xdr:to>
    <xdr:pic>
      <xdr:nvPicPr>
        <xdr:cNvPr id="4" name="Picture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815" y="1198645"/>
          <a:ext cx="3333750" cy="67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40821</xdr:colOff>
      <xdr:row>30</xdr:row>
      <xdr:rowOff>68035</xdr:rowOff>
    </xdr:from>
    <xdr:to>
      <xdr:col>20</xdr:col>
      <xdr:colOff>598715</xdr:colOff>
      <xdr:row>44</xdr:row>
      <xdr:rowOff>72115</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707570</xdr:colOff>
      <xdr:row>10</xdr:row>
      <xdr:rowOff>68037</xdr:rowOff>
    </xdr:from>
    <xdr:to>
      <xdr:col>20</xdr:col>
      <xdr:colOff>435429</xdr:colOff>
      <xdr:row>29</xdr:row>
      <xdr:rowOff>54429</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299356</xdr:colOff>
      <xdr:row>3</xdr:row>
      <xdr:rowOff>122465</xdr:rowOff>
    </xdr:from>
    <xdr:to>
      <xdr:col>23</xdr:col>
      <xdr:colOff>530678</xdr:colOff>
      <xdr:row>9</xdr:row>
      <xdr:rowOff>136072</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4234431" y="693965"/>
          <a:ext cx="3888922" cy="11566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concept is that M is scaled</a:t>
          </a:r>
          <a:r>
            <a:rPr lang="en-US" sz="1100" baseline="0"/>
            <a:t> according to the Lorenzen scaling of M with weight of fish (Lorenzen 2000). Then this M is only applied to the 'selected ages' and then rescaled so that the average M for these ages (e.g. ages 0,1,2, etc to the max age) equals the reference M.  </a:t>
          </a:r>
          <a:endParaRPr lang="en-US" sz="1100"/>
        </a:p>
      </xdr:txBody>
    </xdr:sp>
    <xdr:clientData/>
  </xdr:twoCellAnchor>
  <xdr:twoCellAnchor editAs="oneCell">
    <xdr:from>
      <xdr:col>10</xdr:col>
      <xdr:colOff>395408</xdr:colOff>
      <xdr:row>45</xdr:row>
      <xdr:rowOff>14405</xdr:rowOff>
    </xdr:from>
    <xdr:to>
      <xdr:col>21</xdr:col>
      <xdr:colOff>30256</xdr:colOff>
      <xdr:row>66</xdr:row>
      <xdr:rowOff>12004</xdr:rowOff>
    </xdr:to>
    <xdr:pic>
      <xdr:nvPicPr>
        <xdr:cNvPr id="3" name="Picture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5508" y="8605955"/>
          <a:ext cx="7588223" cy="3998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81643</xdr:colOff>
      <xdr:row>32</xdr:row>
      <xdr:rowOff>150895</xdr:rowOff>
    </xdr:from>
    <xdr:to>
      <xdr:col>14</xdr:col>
      <xdr:colOff>312964</xdr:colOff>
      <xdr:row>36</xdr:row>
      <xdr:rowOff>68036</xdr:rowOff>
    </xdr:to>
    <xdr:pic>
      <xdr:nvPicPr>
        <xdr:cNvPr id="4" name="Picture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77250" y="6260502"/>
          <a:ext cx="3333750" cy="67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585107</xdr:colOff>
      <xdr:row>30</xdr:row>
      <xdr:rowOff>68035</xdr:rowOff>
    </xdr:from>
    <xdr:to>
      <xdr:col>23</xdr:col>
      <xdr:colOff>244929</xdr:colOff>
      <xdr:row>44</xdr:row>
      <xdr:rowOff>72115</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707570</xdr:colOff>
      <xdr:row>10</xdr:row>
      <xdr:rowOff>68037</xdr:rowOff>
    </xdr:from>
    <xdr:to>
      <xdr:col>20</xdr:col>
      <xdr:colOff>435429</xdr:colOff>
      <xdr:row>29</xdr:row>
      <xdr:rowOff>54429</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14</xdr:col>
      <xdr:colOff>676026</xdr:colOff>
      <xdr:row>38</xdr:row>
      <xdr:rowOff>183079</xdr:rowOff>
    </xdr:from>
    <xdr:to>
      <xdr:col>24</xdr:col>
      <xdr:colOff>258536</xdr:colOff>
      <xdr:row>59</xdr:row>
      <xdr:rowOff>40821</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526415</xdr:colOff>
      <xdr:row>17</xdr:row>
      <xdr:rowOff>156791</xdr:rowOff>
    </xdr:from>
    <xdr:to>
      <xdr:col>16</xdr:col>
      <xdr:colOff>203880</xdr:colOff>
      <xdr:row>34</xdr:row>
      <xdr:rowOff>90656</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99650" y="4123673"/>
          <a:ext cx="5762259" cy="4640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493058</xdr:colOff>
      <xdr:row>56</xdr:row>
      <xdr:rowOff>134470</xdr:rowOff>
    </xdr:from>
    <xdr:to>
      <xdr:col>5</xdr:col>
      <xdr:colOff>2868705</xdr:colOff>
      <xdr:row>75</xdr:row>
      <xdr:rowOff>110937</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EAR2016/YFT/YFTDataPrep/YFTDataPrep/naturalMortality/LorenzenScalingYFT.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NewMvector"/>
      <sheetName val="Summary"/>
      <sheetName val="M varies with tc"/>
      <sheetName val="LorMdrag&amp;Pelz_meth2_tc5"/>
      <sheetName val="Some Calcs"/>
      <sheetName val="LorMdrag&amp;Pelz_meth2"/>
      <sheetName val="LorMdragpelc_meth1"/>
      <sheetName val="LorMGascuel_meth1"/>
      <sheetName val="VPAs output"/>
      <sheetName val="DifferentEstimators"/>
      <sheetName val="DifferentRFMOs"/>
      <sheetName val="SS "/>
      <sheetName val="SS to match methI or II"/>
      <sheetName val="Different Scaling"/>
      <sheetName val="Sheet13"/>
      <sheetName val="IOTC"/>
    </sheetNames>
    <sheetDataSet>
      <sheetData sheetId="0"/>
      <sheetData sheetId="1"/>
      <sheetData sheetId="2"/>
      <sheetData sheetId="3"/>
      <sheetData sheetId="4"/>
      <sheetData sheetId="5"/>
      <sheetData sheetId="6"/>
      <sheetData sheetId="7"/>
      <sheetData sheetId="8"/>
      <sheetData sheetId="9">
        <row r="42">
          <cell r="C42" t="str">
            <v>Alverson &amp; Carney</v>
          </cell>
        </row>
        <row r="43">
          <cell r="C43" t="str">
            <v>Beverton &amp;  Holt</v>
          </cell>
        </row>
        <row r="44">
          <cell r="C44" t="str">
            <v>Hoenig</v>
          </cell>
        </row>
        <row r="45">
          <cell r="C45" t="str">
            <v>Then</v>
          </cell>
        </row>
        <row r="46">
          <cell r="C46" t="str">
            <v>Then_growth</v>
          </cell>
        </row>
        <row r="47">
          <cell r="C47" t="str">
            <v>Pauly</v>
          </cell>
        </row>
        <row r="48">
          <cell r="C48" t="str">
            <v>Pauly II (snap&amp;group)</v>
          </cell>
        </row>
        <row r="49">
          <cell r="C49" t="str">
            <v>Ralston</v>
          </cell>
        </row>
        <row r="50">
          <cell r="C50" t="str">
            <v>Ralston (geomean)</v>
          </cell>
        </row>
        <row r="51">
          <cell r="C51" t="str">
            <v>Jensen</v>
          </cell>
        </row>
        <row r="56">
          <cell r="C56" t="str">
            <v>Estimator</v>
          </cell>
          <cell r="G56" t="str">
            <v>Estimate</v>
          </cell>
        </row>
        <row r="57">
          <cell r="C57" t="str">
            <v>Alverson &amp; Carney</v>
          </cell>
          <cell r="G57">
            <v>0.3003670659734306</v>
          </cell>
          <cell r="H57">
            <v>0.63134369300538262</v>
          </cell>
        </row>
        <row r="58">
          <cell r="C58" t="str">
            <v>Beverton &amp;  Holt</v>
          </cell>
          <cell r="G58">
            <v>1.0406948640483382</v>
          </cell>
          <cell r="H58">
            <v>0.63134369300538262</v>
          </cell>
        </row>
        <row r="59">
          <cell r="C59" t="str">
            <v>Hoenig</v>
          </cell>
          <cell r="G59">
            <v>0.40062351505382005</v>
          </cell>
          <cell r="H59">
            <v>0.63134369300538262</v>
          </cell>
        </row>
        <row r="60">
          <cell r="C60" t="str">
            <v>Then</v>
          </cell>
          <cell r="G60">
            <v>0.54474310238132972</v>
          </cell>
          <cell r="H60">
            <v>0.63134369300538262</v>
          </cell>
        </row>
        <row r="61">
          <cell r="C61" t="str">
            <v>Pauly</v>
          </cell>
          <cell r="G61">
            <v>0.55487215306997728</v>
          </cell>
          <cell r="H61">
            <v>0.63134369300538262</v>
          </cell>
        </row>
        <row r="62">
          <cell r="C62" t="str">
            <v>Pauly II (snap&amp;group)</v>
          </cell>
          <cell r="G62">
            <v>0.48664637617879986</v>
          </cell>
          <cell r="H62">
            <v>0.63134369300538262</v>
          </cell>
        </row>
        <row r="63">
          <cell r="C63" t="str">
            <v>Ralston</v>
          </cell>
          <cell r="G63">
            <v>0.78110000000000002</v>
          </cell>
          <cell r="H63">
            <v>0.63134369300538262</v>
          </cell>
        </row>
        <row r="64">
          <cell r="C64" t="str">
            <v>Ralston (geomean)</v>
          </cell>
          <cell r="G64">
            <v>0.86580000000000001</v>
          </cell>
          <cell r="H64">
            <v>0.63134369300538262</v>
          </cell>
        </row>
        <row r="65">
          <cell r="C65" t="str">
            <v>Jensen</v>
          </cell>
          <cell r="G65">
            <v>0.55499999999999994</v>
          </cell>
          <cell r="H65">
            <v>0.63134369300538262</v>
          </cell>
        </row>
        <row r="66">
          <cell r="C66" t="str">
            <v>Rule of thumb</v>
          </cell>
          <cell r="G66">
            <v>0.27236363636363636</v>
          </cell>
          <cell r="H66">
            <v>0.63134369300538262</v>
          </cell>
        </row>
        <row r="67">
          <cell r="C67" t="str">
            <v>Then growth</v>
          </cell>
          <cell r="G67">
            <v>0.16431829823891975</v>
          </cell>
          <cell r="H67">
            <v>0.63134369300538262</v>
          </cell>
        </row>
        <row r="68">
          <cell r="C68" t="str">
            <v>Djabali et al.</v>
          </cell>
          <cell r="G68">
            <v>0.26486064193964709</v>
          </cell>
          <cell r="H68">
            <v>0.63134369300538262</v>
          </cell>
        </row>
        <row r="69">
          <cell r="C69" t="str">
            <v>Roff's</v>
          </cell>
          <cell r="G69">
            <v>1.0406948640483382</v>
          </cell>
          <cell r="H69">
            <v>0.63134369300538262</v>
          </cell>
        </row>
        <row r="70">
          <cell r="C70" t="str">
            <v>Rikhter &amp; Efanov</v>
          </cell>
          <cell r="G70">
            <v>0.78127224218037039</v>
          </cell>
          <cell r="H70">
            <v>0.63134369300538262</v>
          </cell>
        </row>
        <row r="71">
          <cell r="C71" t="str">
            <v>Griffiths and Harrod</v>
          </cell>
          <cell r="G71">
            <v>0.65309598889275311</v>
          </cell>
          <cell r="H71">
            <v>0.63134369300538262</v>
          </cell>
        </row>
        <row r="72">
          <cell r="C72" t="str">
            <v>jensen 2</v>
          </cell>
          <cell r="G72">
            <v>0.84102220729710075</v>
          </cell>
          <cell r="H72">
            <v>0.63134369300538262</v>
          </cell>
        </row>
        <row r="73">
          <cell r="C73" t="str">
            <v>R&amp;E (Gascuel)</v>
          </cell>
          <cell r="G73">
            <v>0.63134369300538262</v>
          </cell>
          <cell r="H73">
            <v>0.63134369300538262</v>
          </cell>
        </row>
        <row r="74">
          <cell r="C74" t="str">
            <v>G&amp;H (Gascuel)</v>
          </cell>
          <cell r="G74">
            <v>0.67124359020895652</v>
          </cell>
          <cell r="H74">
            <v>0.63134369300538262</v>
          </cell>
        </row>
        <row r="75">
          <cell r="C75" t="str">
            <v>jensen2, (Gascuel)</v>
          </cell>
        </row>
      </sheetData>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U108"/>
  <sheetViews>
    <sheetView tabSelected="1" topLeftCell="A97" zoomScaleNormal="100" workbookViewId="0">
      <selection activeCell="F134" sqref="F134"/>
    </sheetView>
  </sheetViews>
  <sheetFormatPr defaultRowHeight="13.5" x14ac:dyDescent="0.15"/>
  <cols>
    <col min="1" max="1" width="9.125" style="7"/>
    <col min="2" max="6" width="10.375" style="7" customWidth="1"/>
    <col min="7" max="7" width="9.125" style="9"/>
    <col min="8" max="15" width="7.875" style="7" customWidth="1"/>
    <col min="16" max="17" width="10.375" style="7" customWidth="1"/>
    <col min="18" max="18" width="15.375" customWidth="1"/>
  </cols>
  <sheetData>
    <row r="3" spans="1:21" ht="18.75" x14ac:dyDescent="0.25">
      <c r="A3" s="142"/>
      <c r="B3" s="142" t="s">
        <v>5</v>
      </c>
      <c r="C3" s="142"/>
      <c r="D3" s="142"/>
      <c r="E3" s="142" t="s">
        <v>5</v>
      </c>
      <c r="F3" s="142"/>
      <c r="G3"/>
      <c r="H3" t="s">
        <v>156</v>
      </c>
      <c r="I3" t="s">
        <v>157</v>
      </c>
      <c r="K3" s="7" t="s">
        <v>166</v>
      </c>
      <c r="L3" s="7" t="s">
        <v>166</v>
      </c>
      <c r="T3" s="206" t="s">
        <v>195</v>
      </c>
    </row>
    <row r="4" spans="1:21" ht="24.75" x14ac:dyDescent="0.2">
      <c r="A4" s="143" t="s">
        <v>0</v>
      </c>
      <c r="B4" s="151" t="s">
        <v>163</v>
      </c>
      <c r="C4" s="158" t="s">
        <v>165</v>
      </c>
      <c r="D4" s="159" t="s">
        <v>164</v>
      </c>
      <c r="E4" s="151" t="s">
        <v>159</v>
      </c>
      <c r="F4" s="151" t="s">
        <v>162</v>
      </c>
      <c r="G4"/>
      <c r="H4">
        <v>0.14000000000000001</v>
      </c>
      <c r="I4"/>
      <c r="J4" s="119"/>
      <c r="K4" s="119"/>
      <c r="L4" s="119"/>
      <c r="M4" s="119"/>
      <c r="N4" s="119"/>
      <c r="O4" s="118"/>
      <c r="P4" s="119"/>
      <c r="R4" s="7"/>
    </row>
    <row r="5" spans="1:21" ht="14.25" x14ac:dyDescent="0.2">
      <c r="A5" s="144">
        <v>0</v>
      </c>
      <c r="B5" s="145">
        <f>LorMRichards!J12</f>
        <v>0.88550728086715602</v>
      </c>
      <c r="C5" s="145">
        <f>LorMRichardsLower!J12</f>
        <v>0.65702071312049315</v>
      </c>
      <c r="D5" s="145">
        <f>LorMRichardsUpper!J12</f>
        <v>1.1263212224922736</v>
      </c>
      <c r="E5" s="145">
        <f>LorMVB!J12</f>
        <v>1.4508916900940751</v>
      </c>
      <c r="F5" s="145">
        <f>LorMRichardsHoenig!J12</f>
        <v>0.61559033127238394</v>
      </c>
      <c r="J5" s="117"/>
      <c r="K5" s="160"/>
      <c r="L5" s="160" t="s">
        <v>5</v>
      </c>
      <c r="M5" s="118"/>
      <c r="N5" s="118"/>
      <c r="O5" s="215"/>
      <c r="P5" s="215" t="s">
        <v>202</v>
      </c>
      <c r="Q5" s="216" t="s">
        <v>190</v>
      </c>
      <c r="R5" s="7"/>
      <c r="T5" t="s">
        <v>194</v>
      </c>
      <c r="U5" t="s">
        <v>196</v>
      </c>
    </row>
    <row r="6" spans="1:21" ht="14.25" x14ac:dyDescent="0.2">
      <c r="A6" s="144">
        <v>1</v>
      </c>
      <c r="B6" s="145">
        <f>LorMRichards!J13</f>
        <v>0.65450606382472465</v>
      </c>
      <c r="C6" s="145">
        <f>LorMRichardsLower!J13</f>
        <v>0.48562451160728498</v>
      </c>
      <c r="D6" s="145">
        <f>LorMRichardsUpper!J13</f>
        <v>0.83249916275534563</v>
      </c>
      <c r="E6" s="145">
        <f>LorMVB!J13</f>
        <v>0.72720828970818496</v>
      </c>
      <c r="F6" s="145">
        <f>LorMRichardsHoenig!J13</f>
        <v>0.45500202353512953</v>
      </c>
      <c r="G6">
        <v>1</v>
      </c>
      <c r="H6">
        <v>0.14000000000000001</v>
      </c>
      <c r="I6">
        <v>0.49</v>
      </c>
      <c r="J6" s="117"/>
      <c r="K6" s="160">
        <f>(B6-H6)/H6</f>
        <v>3.675043313033747</v>
      </c>
      <c r="L6" s="160">
        <f>(B6-I6)/I6</f>
        <v>0.33572666086678504</v>
      </c>
      <c r="M6" s="118"/>
      <c r="N6" s="118" t="s">
        <v>5</v>
      </c>
      <c r="O6" s="217">
        <v>0</v>
      </c>
      <c r="P6" s="218">
        <f>LorMRichards_SS!P18</f>
        <v>0.4700998304906211</v>
      </c>
      <c r="Q6" s="219">
        <f>LorMRichards_0.1!J12</f>
        <v>0.51847828416948061</v>
      </c>
      <c r="R6" s="195">
        <f>P6-Q6</f>
        <v>-4.8378453678859512E-2</v>
      </c>
      <c r="U6">
        <v>1.6</v>
      </c>
    </row>
    <row r="7" spans="1:21" ht="14.25" x14ac:dyDescent="0.2">
      <c r="A7" s="144">
        <v>2</v>
      </c>
      <c r="B7" s="145">
        <f>LorMRichards!J14</f>
        <v>0.50844150459608017</v>
      </c>
      <c r="C7" s="145">
        <f>LorMRichardsLower!J14</f>
        <v>0.3772488461107168</v>
      </c>
      <c r="D7" s="145">
        <f>LorMRichardsUpper!J14</f>
        <v>0.64671230761837162</v>
      </c>
      <c r="E7" s="145">
        <f>LorMVB!J14</f>
        <v>0.51486956867906641</v>
      </c>
      <c r="F7" s="145">
        <f>LorMRichardsHoenig!J14</f>
        <v>0.35346030575877935</v>
      </c>
      <c r="G7">
        <v>2</v>
      </c>
      <c r="H7">
        <v>0.14000000000000001</v>
      </c>
      <c r="I7">
        <v>0.24</v>
      </c>
      <c r="J7" s="117"/>
      <c r="K7" s="160">
        <f t="shared" ref="K7:K30" si="0">(B7-H7)/H7</f>
        <v>2.6317250328291437</v>
      </c>
      <c r="L7" s="160">
        <f>(B7-I7)/I7</f>
        <v>1.1185062691503342</v>
      </c>
      <c r="M7" s="118"/>
      <c r="N7" s="118"/>
      <c r="O7" s="217">
        <v>1</v>
      </c>
      <c r="P7" s="218">
        <f>LorMRichards_SS!P19</f>
        <v>0.37121896292338535</v>
      </c>
      <c r="Q7" s="219">
        <f>LorMRichards_0.1!J13</f>
        <v>0.38322347910911508</v>
      </c>
      <c r="R7" s="195">
        <f t="shared" ref="R7:R30" si="1">P7-Q7</f>
        <v>-1.200451618572973E-2</v>
      </c>
      <c r="T7">
        <v>0.22</v>
      </c>
      <c r="U7">
        <v>1</v>
      </c>
    </row>
    <row r="8" spans="1:21" ht="14.25" x14ac:dyDescent="0.2">
      <c r="A8" s="144">
        <v>3</v>
      </c>
      <c r="B8" s="145">
        <f>LorMRichards!J15</f>
        <v>0.41231739855323346</v>
      </c>
      <c r="C8" s="145">
        <f>LorMRichardsLower!J15</f>
        <v>0.30592754806504258</v>
      </c>
      <c r="D8" s="145">
        <f>LorMRichardsUpper!J15</f>
        <v>0.52444722525435861</v>
      </c>
      <c r="E8" s="145">
        <f>LorMVB!J15</f>
        <v>0.41125385208570298</v>
      </c>
      <c r="F8" s="145">
        <f>LorMRichardsHoenig!J15</f>
        <v>0.28663638283831394</v>
      </c>
      <c r="G8">
        <v>3</v>
      </c>
      <c r="H8">
        <v>0.14000000000000001</v>
      </c>
      <c r="I8">
        <v>0.24</v>
      </c>
      <c r="J8" s="117"/>
      <c r="K8" s="160">
        <f t="shared" si="0"/>
        <v>1.9451242753802387</v>
      </c>
      <c r="L8" s="160">
        <f t="shared" ref="L8:L30" si="2">(B8-I8)/I8</f>
        <v>0.71798916063847285</v>
      </c>
      <c r="M8" s="118"/>
      <c r="N8" s="118"/>
      <c r="O8" s="217">
        <v>2</v>
      </c>
      <c r="P8" s="218">
        <f>LorMRichards_SS!P20</f>
        <v>0.29966484305169694</v>
      </c>
      <c r="Q8" s="219">
        <f>LorMRichards_0.1!J14</f>
        <v>0.29770040811564191</v>
      </c>
      <c r="R8" s="195">
        <f t="shared" si="1"/>
        <v>1.9644349360550262E-3</v>
      </c>
      <c r="T8">
        <v>0.22</v>
      </c>
      <c r="U8">
        <v>0.38600000000000001</v>
      </c>
    </row>
    <row r="9" spans="1:21" ht="14.25" x14ac:dyDescent="0.2">
      <c r="A9" s="144">
        <v>4</v>
      </c>
      <c r="B9" s="145">
        <f>LorMRichards!J16</f>
        <v>0.34685191132922588</v>
      </c>
      <c r="C9" s="145">
        <f>LorMRichardsLower!J16</f>
        <v>0.25735405575160025</v>
      </c>
      <c r="D9" s="145">
        <f>LorMRichardsUpper!J16</f>
        <v>0.4411783812884576</v>
      </c>
      <c r="E9" s="145">
        <f>LorMVB!J16</f>
        <v>0.3494680013766</v>
      </c>
      <c r="F9" s="145">
        <f>LorMRichardsHoenig!J16</f>
        <v>0.24112583556458619</v>
      </c>
      <c r="G9">
        <v>4</v>
      </c>
      <c r="H9">
        <v>0.14000000000000001</v>
      </c>
      <c r="I9">
        <v>0.24</v>
      </c>
      <c r="J9" s="117"/>
      <c r="K9" s="160">
        <f t="shared" si="0"/>
        <v>1.4775136523516132</v>
      </c>
      <c r="L9" s="160">
        <f t="shared" si="2"/>
        <v>0.44521629720510791</v>
      </c>
      <c r="M9" s="118"/>
      <c r="N9" s="118"/>
      <c r="O9" s="217">
        <v>3</v>
      </c>
      <c r="P9" s="218">
        <f>LorMRichards_SS!P21</f>
        <v>0.24809169776879977</v>
      </c>
      <c r="Q9" s="219">
        <f>LorMRichards_0.1!J15</f>
        <v>0.24141824912580856</v>
      </c>
      <c r="R9" s="195">
        <f t="shared" si="1"/>
        <v>6.6734486429912143E-3</v>
      </c>
      <c r="T9">
        <v>0.13</v>
      </c>
      <c r="U9">
        <v>0.25</v>
      </c>
    </row>
    <row r="10" spans="1:21" ht="14.25" x14ac:dyDescent="0.2">
      <c r="A10" s="144">
        <v>5</v>
      </c>
      <c r="B10" s="145">
        <f>LorMRichards!J17</f>
        <v>0.30095076588208997</v>
      </c>
      <c r="C10" s="145">
        <f>LorMRichardsLower!J17</f>
        <v>0.22329673745920664</v>
      </c>
      <c r="D10" s="145">
        <f>LorMRichardsUpper!J17</f>
        <v>0.38279440707292561</v>
      </c>
      <c r="E10" s="145">
        <f>LorMVB!J17</f>
        <v>0.3083587226668944</v>
      </c>
      <c r="F10" s="145">
        <f>LorMRichardsHoenig!J17</f>
        <v>0.20921610207948871</v>
      </c>
      <c r="G10">
        <v>5</v>
      </c>
      <c r="H10">
        <v>0.14000000000000001</v>
      </c>
      <c r="I10">
        <v>0.24</v>
      </c>
      <c r="J10" s="117"/>
      <c r="K10" s="160">
        <f t="shared" si="0"/>
        <v>1.1496483277292138</v>
      </c>
      <c r="L10" s="160">
        <f t="shared" si="2"/>
        <v>0.25396152450870824</v>
      </c>
      <c r="M10" s="118"/>
      <c r="N10" s="118"/>
      <c r="O10" s="217">
        <v>4</v>
      </c>
      <c r="P10" s="218">
        <f>LorMRichards_SS!P22</f>
        <v>0.21077629315481541</v>
      </c>
      <c r="Q10" s="219">
        <f>LorMRichards_0.1!J16</f>
        <v>0.20308718825075456</v>
      </c>
      <c r="R10" s="195">
        <f t="shared" si="1"/>
        <v>7.6891049040608561E-3</v>
      </c>
      <c r="T10">
        <v>0.1</v>
      </c>
      <c r="U10">
        <v>0.25</v>
      </c>
    </row>
    <row r="11" spans="1:21" ht="14.25" x14ac:dyDescent="0.2">
      <c r="A11" s="144">
        <v>6</v>
      </c>
      <c r="B11" s="145">
        <f>LorMRichards!J18</f>
        <v>0.26797135936069566</v>
      </c>
      <c r="C11" s="145">
        <f>LorMRichardsLower!J18</f>
        <v>0.19882697457960841</v>
      </c>
      <c r="D11" s="145">
        <f>LorMRichardsUpper!J18</f>
        <v>0.34084624213647152</v>
      </c>
      <c r="E11" s="145">
        <f>LorMVB!J18</f>
        <v>0.27904404943797895</v>
      </c>
      <c r="F11" s="145">
        <f>LorMRichardsHoenig!J18</f>
        <v>0.18628935237982433</v>
      </c>
      <c r="G11">
        <v>6</v>
      </c>
      <c r="H11">
        <v>0.14000000000000001</v>
      </c>
      <c r="I11">
        <v>0.2</v>
      </c>
      <c r="J11" s="117"/>
      <c r="K11" s="160">
        <f t="shared" si="0"/>
        <v>0.91408113829068316</v>
      </c>
      <c r="L11" s="160">
        <f t="shared" si="2"/>
        <v>0.33985679680347824</v>
      </c>
      <c r="M11" s="118"/>
      <c r="N11" s="118"/>
      <c r="O11" s="217">
        <v>5</v>
      </c>
      <c r="P11" s="218">
        <f>LorMRichards_SS!P23</f>
        <v>0.18354284203657478</v>
      </c>
      <c r="Q11" s="219">
        <f>LorMRichards_0.1!J17</f>
        <v>0.17621135374656022</v>
      </c>
      <c r="R11" s="195">
        <f t="shared" si="1"/>
        <v>7.331488290014565E-3</v>
      </c>
      <c r="T11">
        <v>0.1</v>
      </c>
      <c r="U11">
        <v>0.25</v>
      </c>
    </row>
    <row r="12" spans="1:21" ht="14.25" x14ac:dyDescent="0.2">
      <c r="A12" s="144">
        <v>7</v>
      </c>
      <c r="B12" s="145">
        <f>LorMRichards!J19</f>
        <v>0.24378901813724155</v>
      </c>
      <c r="C12" s="145">
        <f>LorMRichardsLower!J19</f>
        <v>0.18088437894109724</v>
      </c>
      <c r="D12" s="145">
        <f>LorMRichardsUpper!J19</f>
        <v>0.31008750675616664</v>
      </c>
      <c r="E12" s="145">
        <f>LorMVB!J19</f>
        <v>0.25711794593131121</v>
      </c>
      <c r="F12" s="145">
        <f>LorMRichardsHoenig!J19</f>
        <v>0.16947818011017335</v>
      </c>
      <c r="G12">
        <v>7</v>
      </c>
      <c r="H12">
        <v>0.14000000000000001</v>
      </c>
      <c r="I12">
        <v>0.17499999999999999</v>
      </c>
      <c r="J12" s="117"/>
      <c r="K12" s="160">
        <f t="shared" si="0"/>
        <v>0.74135012955172519</v>
      </c>
      <c r="L12" s="160">
        <f t="shared" si="2"/>
        <v>0.39308010364138035</v>
      </c>
      <c r="M12" s="118"/>
      <c r="N12" s="118"/>
      <c r="O12" s="217">
        <v>6</v>
      </c>
      <c r="P12" s="218">
        <f>LorMRichards_SS!P24</f>
        <v>0.16344932447332705</v>
      </c>
      <c r="Q12" s="219">
        <f>LorMRichards_0.1!J18</f>
        <v>0.15690139833953576</v>
      </c>
      <c r="R12" s="195">
        <f t="shared" si="1"/>
        <v>6.5479261337912931E-3</v>
      </c>
      <c r="T12">
        <v>0.1</v>
      </c>
      <c r="U12">
        <v>0.25</v>
      </c>
    </row>
    <row r="13" spans="1:21" ht="14.25" x14ac:dyDescent="0.2">
      <c r="A13" s="144">
        <v>8</v>
      </c>
      <c r="B13" s="145">
        <f>LorMRichards!J20</f>
        <v>0.22575619451480652</v>
      </c>
      <c r="C13" s="145">
        <f>LorMRichardsLower!J20</f>
        <v>0.16750454696005929</v>
      </c>
      <c r="D13" s="145">
        <f>LorMRichardsUpper!J20</f>
        <v>0.28715065193153011</v>
      </c>
      <c r="E13" s="145">
        <f>LorMVB!J20</f>
        <v>0.24013736603807104</v>
      </c>
      <c r="F13" s="145">
        <f>LorMRichardsHoenig!J20</f>
        <v>0.15694205295756489</v>
      </c>
      <c r="G13">
        <v>8</v>
      </c>
      <c r="H13">
        <v>0.14000000000000001</v>
      </c>
      <c r="I13">
        <v>0.15</v>
      </c>
      <c r="J13" s="117"/>
      <c r="K13" s="160">
        <f t="shared" si="0"/>
        <v>0.61254424653433215</v>
      </c>
      <c r="L13" s="160">
        <f t="shared" si="2"/>
        <v>0.5050412967653769</v>
      </c>
      <c r="M13" s="118"/>
      <c r="N13" s="118"/>
      <c r="O13" s="217">
        <v>7</v>
      </c>
      <c r="P13" s="218">
        <f>LorMRichards_SS!P25</f>
        <v>0.1484526856051456</v>
      </c>
      <c r="Q13" s="219">
        <f>LorMRichards_0.1!J19</f>
        <v>0.14274226147455232</v>
      </c>
      <c r="R13" s="195">
        <f t="shared" si="1"/>
        <v>5.7104241305932779E-3</v>
      </c>
      <c r="T13">
        <v>0.1</v>
      </c>
      <c r="U13">
        <v>0.25</v>
      </c>
    </row>
    <row r="14" spans="1:21" ht="14.25" x14ac:dyDescent="0.2">
      <c r="A14" s="144">
        <v>9</v>
      </c>
      <c r="B14" s="145">
        <f>LorMRichards!J21</f>
        <v>0.21212160267916969</v>
      </c>
      <c r="C14" s="145">
        <f>LorMRichardsLower!J21</f>
        <v>0.15738807536856159</v>
      </c>
      <c r="D14" s="145">
        <f>LorMRichardsUpper!J21</f>
        <v>0.26980812920324837</v>
      </c>
      <c r="E14" s="145">
        <f>LorMVB!J21</f>
        <v>0.22663473985843163</v>
      </c>
      <c r="F14" s="145">
        <f>LorMRichardsHoenig!J21</f>
        <v>0.14746350536545019</v>
      </c>
      <c r="G14">
        <v>9</v>
      </c>
      <c r="H14">
        <v>0.14000000000000001</v>
      </c>
      <c r="I14">
        <v>0.125</v>
      </c>
      <c r="J14" s="117"/>
      <c r="K14" s="160">
        <f t="shared" si="0"/>
        <v>0.51515430485121194</v>
      </c>
      <c r="L14" s="160">
        <f t="shared" si="2"/>
        <v>0.69697282143335748</v>
      </c>
      <c r="M14" s="118"/>
      <c r="N14" s="118"/>
      <c r="O14" s="217">
        <v>8</v>
      </c>
      <c r="P14" s="218">
        <f>LorMRichards_SS!P26</f>
        <v>0.13713607339663569</v>
      </c>
      <c r="Q14" s="219">
        <f>LorMRichards_0.1!J20</f>
        <v>0.13218376280096134</v>
      </c>
      <c r="R14" s="195">
        <f t="shared" si="1"/>
        <v>4.9523105956743585E-3</v>
      </c>
      <c r="T14">
        <v>0.1</v>
      </c>
      <c r="U14">
        <v>0.25</v>
      </c>
    </row>
    <row r="15" spans="1:21" ht="14.25" x14ac:dyDescent="0.2">
      <c r="A15" s="144">
        <v>10</v>
      </c>
      <c r="B15" s="145">
        <f>LorMRichards!J22</f>
        <v>0.20169497723853894</v>
      </c>
      <c r="C15" s="145">
        <f>LorMRichardsLower!J22</f>
        <v>0.14965182177645678</v>
      </c>
      <c r="D15" s="145">
        <f>LorMRichardsUpper!J22</f>
        <v>0.25654598018821156</v>
      </c>
      <c r="E15" s="145">
        <f>LorMVB!J22</f>
        <v>0.21567341416065472</v>
      </c>
      <c r="F15" s="145">
        <f>LorMRichardsHoenig!J22</f>
        <v>0.14021508409581881</v>
      </c>
      <c r="G15">
        <v>10</v>
      </c>
      <c r="H15">
        <v>0.14000000000000001</v>
      </c>
      <c r="I15">
        <v>0.1</v>
      </c>
      <c r="J15" s="117"/>
      <c r="K15" s="160">
        <f t="shared" si="0"/>
        <v>0.44067840884670656</v>
      </c>
      <c r="L15" s="160">
        <f t="shared" si="2"/>
        <v>1.0169497723853893</v>
      </c>
      <c r="M15" s="118"/>
      <c r="N15" s="118"/>
      <c r="O15" s="217">
        <v>9</v>
      </c>
      <c r="P15" s="218">
        <f>LorMRichards_SS!P27</f>
        <v>0.12851044813288992</v>
      </c>
      <c r="Q15" s="219">
        <f>LorMRichards_0.1!J21</f>
        <v>0.12420049723891036</v>
      </c>
      <c r="R15" s="195">
        <f t="shared" si="1"/>
        <v>4.3099508939795639E-3</v>
      </c>
      <c r="T15">
        <v>0.1</v>
      </c>
      <c r="U15">
        <v>0.25</v>
      </c>
    </row>
    <row r="16" spans="1:21" ht="14.25" x14ac:dyDescent="0.2">
      <c r="A16" s="144">
        <v>11</v>
      </c>
      <c r="B16" s="145">
        <f>LorMRichards!J23</f>
        <v>0.1936474770206158</v>
      </c>
      <c r="C16" s="145">
        <f>LorMRichardsLower!J23</f>
        <v>0.14368081007925268</v>
      </c>
      <c r="D16" s="145">
        <f>LorMRichardsUpper!J23</f>
        <v>0.24630996013586171</v>
      </c>
      <c r="E16" s="145">
        <f>LorMVB!J23</f>
        <v>0.20662648717564575</v>
      </c>
      <c r="F16" s="145">
        <f>LorMRichardsHoenig!J23</f>
        <v>0.13462059217903344</v>
      </c>
      <c r="G16">
        <v>11</v>
      </c>
      <c r="H16">
        <v>0.14000000000000001</v>
      </c>
      <c r="I16">
        <v>0.1</v>
      </c>
      <c r="J16" s="117"/>
      <c r="K16" s="160">
        <f t="shared" si="0"/>
        <v>0.38319626443296984</v>
      </c>
      <c r="L16" s="160">
        <f t="shared" si="2"/>
        <v>0.93647477020615788</v>
      </c>
      <c r="M16" s="118"/>
      <c r="N16" s="118"/>
      <c r="O16" s="217">
        <v>10</v>
      </c>
      <c r="P16" s="218">
        <f>LorMRichards_SS!P28</f>
        <v>0.12187778004986574</v>
      </c>
      <c r="Q16" s="219">
        <f>LorMRichards_0.1!J22</f>
        <v>0.11809554589074961</v>
      </c>
      <c r="R16" s="195">
        <f t="shared" si="1"/>
        <v>3.7822341591161324E-3</v>
      </c>
      <c r="T16">
        <v>0.1</v>
      </c>
      <c r="U16">
        <v>0.25</v>
      </c>
    </row>
    <row r="17" spans="1:21" ht="14.25" x14ac:dyDescent="0.2">
      <c r="A17" s="144">
        <v>12</v>
      </c>
      <c r="B17" s="145">
        <f>LorMRichards!J24</f>
        <v>0.18738936491473857</v>
      </c>
      <c r="C17" s="145">
        <f>LorMRichardsLower!J24</f>
        <v>0.13903747244958919</v>
      </c>
      <c r="D17" s="145">
        <f>LorMRichardsUpper!J24</f>
        <v>0.23834995277072429</v>
      </c>
      <c r="E17" s="145">
        <f>LorMVB!J24</f>
        <v>0.19905798108529876</v>
      </c>
      <c r="F17" s="145">
        <f>LorMRichardsHoenig!J24</f>
        <v>0.13027005391962568</v>
      </c>
      <c r="G17">
        <v>12</v>
      </c>
      <c r="H17">
        <v>0.14000000000000001</v>
      </c>
      <c r="I17">
        <v>0.1</v>
      </c>
      <c r="K17" s="160">
        <f t="shared" si="0"/>
        <v>0.33849546367670391</v>
      </c>
      <c r="L17" s="160">
        <f t="shared" si="2"/>
        <v>0.87389364914738554</v>
      </c>
      <c r="O17" s="217">
        <v>11</v>
      </c>
      <c r="P17" s="218">
        <f>LorMRichards_SS!P29</f>
        <v>0.11673890910133462</v>
      </c>
      <c r="Q17" s="219">
        <f>LorMRichards_0.1!J23</f>
        <v>0.11338360936013597</v>
      </c>
      <c r="R17" s="195">
        <f t="shared" si="1"/>
        <v>3.3552997411986502E-3</v>
      </c>
      <c r="T17">
        <v>0.1</v>
      </c>
      <c r="U17">
        <v>0.25</v>
      </c>
    </row>
    <row r="18" spans="1:21" ht="14.25" x14ac:dyDescent="0.2">
      <c r="A18" s="144">
        <v>13</v>
      </c>
      <c r="B18" s="145">
        <f>LorMRichards!J25</f>
        <v>0.18249299892860124</v>
      </c>
      <c r="C18" s="145">
        <f>LorMRichardsLower!J25</f>
        <v>0.13540451093541561</v>
      </c>
      <c r="D18" s="145">
        <f>LorMRichardsUpper!J25</f>
        <v>0.23212201874642677</v>
      </c>
      <c r="E18" s="145">
        <f>LorMVB!J25</f>
        <v>0.19265496683871969</v>
      </c>
      <c r="F18" s="145">
        <f>LorMRichardsHoenig!J25</f>
        <v>0.12686617952518206</v>
      </c>
      <c r="G18">
        <v>13</v>
      </c>
      <c r="H18">
        <v>0.14000000000000001</v>
      </c>
      <c r="I18">
        <v>0.1</v>
      </c>
      <c r="K18" s="160">
        <f t="shared" si="0"/>
        <v>0.30352142091858014</v>
      </c>
      <c r="L18" s="160">
        <f t="shared" si="2"/>
        <v>0.82492998928601236</v>
      </c>
      <c r="M18" s="9"/>
      <c r="N18" s="9"/>
      <c r="O18" s="217">
        <v>12</v>
      </c>
      <c r="P18" s="218">
        <f>LorMRichards_SS!P30</f>
        <v>0.11273192232989925</v>
      </c>
      <c r="Q18" s="219">
        <f>LorMRichards_0.1!J24</f>
        <v>0.10971938739731027</v>
      </c>
      <c r="R18" s="195">
        <f t="shared" si="1"/>
        <v>3.0125349325889755E-3</v>
      </c>
      <c r="T18">
        <v>0.1</v>
      </c>
      <c r="U18">
        <v>0.25</v>
      </c>
    </row>
    <row r="19" spans="1:21" ht="14.25" x14ac:dyDescent="0.2">
      <c r="A19" s="144">
        <v>14</v>
      </c>
      <c r="B19" s="145">
        <f>LorMRichards!J26</f>
        <v>0.17864311321026149</v>
      </c>
      <c r="C19" s="145">
        <f>LorMRichardsLower!J26</f>
        <v>0.13254800742070827</v>
      </c>
      <c r="D19" s="145">
        <f>LorMRichardsUpper!J26</f>
        <v>0.22722515557835696</v>
      </c>
      <c r="E19" s="145">
        <f>LorMVB!J26</f>
        <v>0.18718680610905944</v>
      </c>
      <c r="F19" s="145">
        <f>LorMRichardsHoenig!J26</f>
        <v>0.12418980127745863</v>
      </c>
      <c r="G19">
        <v>14</v>
      </c>
      <c r="H19">
        <v>0.14000000000000001</v>
      </c>
      <c r="I19">
        <v>0.1</v>
      </c>
      <c r="K19" s="160">
        <f t="shared" si="0"/>
        <v>0.27602223721615343</v>
      </c>
      <c r="L19" s="160">
        <f t="shared" si="2"/>
        <v>0.78643113210261484</v>
      </c>
      <c r="O19" s="217">
        <v>13</v>
      </c>
      <c r="P19" s="218">
        <f>LorMRichards_SS!P31</f>
        <v>0.10959083738485631</v>
      </c>
      <c r="Q19" s="219">
        <f>LorMRichards_0.1!J25</f>
        <v>0.10685248896517968</v>
      </c>
      <c r="R19" s="195">
        <f t="shared" si="1"/>
        <v>2.7383484196766283E-3</v>
      </c>
      <c r="T19">
        <v>0.1</v>
      </c>
      <c r="U19">
        <v>0.25</v>
      </c>
    </row>
    <row r="20" spans="1:21" ht="15" x14ac:dyDescent="0.25">
      <c r="A20" s="144">
        <v>15</v>
      </c>
      <c r="B20" s="145">
        <f>LorMRichards!J27</f>
        <v>0.17560395149932193</v>
      </c>
      <c r="C20" s="145">
        <f>LorMRichardsLower!J27</f>
        <v>0.13029303759973221</v>
      </c>
      <c r="D20" s="145">
        <f>LorMRichardsUpper!J27</f>
        <v>0.22335949302811231</v>
      </c>
      <c r="E20" s="145">
        <f>LorMVB!J27</f>
        <v>0.18247963640003712</v>
      </c>
      <c r="F20" s="145">
        <f>LorMRichardsHoenig!J27</f>
        <v>0.12207702523952982</v>
      </c>
      <c r="G20">
        <v>15</v>
      </c>
      <c r="H20">
        <v>0.14000000000000001</v>
      </c>
      <c r="I20">
        <v>0.1</v>
      </c>
      <c r="K20" s="160">
        <f t="shared" si="0"/>
        <v>0.25431393928087076</v>
      </c>
      <c r="L20" s="160">
        <f t="shared" si="2"/>
        <v>0.7560395149932192</v>
      </c>
      <c r="M20" s="116"/>
      <c r="N20" s="73"/>
      <c r="O20" s="217">
        <v>14</v>
      </c>
      <c r="P20" s="218">
        <f>LorMRichards_SS!P32</f>
        <v>0.10711767280240458</v>
      </c>
      <c r="Q20" s="219">
        <f>LorMRichards_0.1!J26</f>
        <v>0.10459832100448412</v>
      </c>
      <c r="R20" s="195">
        <f t="shared" si="1"/>
        <v>2.5193517979204688E-3</v>
      </c>
      <c r="T20">
        <v>0.1</v>
      </c>
      <c r="U20">
        <v>0.25</v>
      </c>
    </row>
    <row r="21" spans="1:21" ht="15" x14ac:dyDescent="0.25">
      <c r="A21" s="144">
        <v>16</v>
      </c>
      <c r="B21" s="145">
        <f>LorMRichards!J28</f>
        <v>0.17319705476957542</v>
      </c>
      <c r="C21" s="145">
        <f>LorMRichardsLower!J28</f>
        <v>0.12850719005228253</v>
      </c>
      <c r="D21" s="145">
        <f>LorMRichardsUpper!J28</f>
        <v>0.22029804008962714</v>
      </c>
      <c r="E21" s="145">
        <f>LorMVB!J28</f>
        <v>0.17839982569234722</v>
      </c>
      <c r="F21" s="145">
        <f>LorMRichardsHoenig!J28</f>
        <v>0.12040378958442362</v>
      </c>
      <c r="G21">
        <v>16</v>
      </c>
      <c r="H21">
        <v>0.14000000000000001</v>
      </c>
      <c r="I21">
        <v>0.1</v>
      </c>
      <c r="K21" s="160">
        <f t="shared" si="0"/>
        <v>0.23712181978268146</v>
      </c>
      <c r="L21" s="160">
        <f t="shared" si="2"/>
        <v>0.73197054769575409</v>
      </c>
      <c r="M21" s="116"/>
      <c r="N21" s="73"/>
      <c r="O21" s="217">
        <v>15</v>
      </c>
      <c r="P21" s="218">
        <f>LorMRichards_SS!P33</f>
        <v>0.10516334827705018</v>
      </c>
      <c r="Q21" s="219">
        <f>LorMRichards_0.1!J27</f>
        <v>0.1028188445583295</v>
      </c>
      <c r="R21" s="195">
        <f t="shared" si="1"/>
        <v>2.344503718720678E-3</v>
      </c>
      <c r="T21">
        <v>0.1</v>
      </c>
      <c r="U21">
        <v>0.25</v>
      </c>
    </row>
    <row r="22" spans="1:21" ht="15" x14ac:dyDescent="0.25">
      <c r="A22" s="144">
        <v>17</v>
      </c>
      <c r="B22" s="145">
        <f>LorMRichards!J29</f>
        <v>0.17128593560161698</v>
      </c>
      <c r="C22" s="145">
        <f>LorMRichardsLower!J29</f>
        <v>0.12708919507277128</v>
      </c>
      <c r="D22" s="145">
        <f>LorMRichardsUpper!J29</f>
        <v>0.21786719155332215</v>
      </c>
      <c r="E22" s="145">
        <f>LorMVB!J29</f>
        <v>0.17484291418499617</v>
      </c>
      <c r="F22" s="145">
        <f>LorMRichardsHoenig!J29</f>
        <v>0.11907521046697982</v>
      </c>
      <c r="G22">
        <v>17</v>
      </c>
      <c r="H22">
        <v>0.14000000000000001</v>
      </c>
      <c r="I22">
        <v>0.1</v>
      </c>
      <c r="K22" s="160">
        <f t="shared" si="0"/>
        <v>0.2234709685829783</v>
      </c>
      <c r="L22" s="160">
        <f t="shared" si="2"/>
        <v>0.71285935601616968</v>
      </c>
      <c r="M22" s="116"/>
      <c r="N22" s="73"/>
      <c r="O22" s="217">
        <v>16</v>
      </c>
      <c r="P22" s="218">
        <f>LorMRichards_SS!P34</f>
        <v>0.10361444660669529</v>
      </c>
      <c r="Q22" s="219">
        <f>LorMRichards_0.1!J28</f>
        <v>0.10140956909151454</v>
      </c>
      <c r="R22" s="195">
        <f t="shared" si="1"/>
        <v>2.2048775151807531E-3</v>
      </c>
      <c r="T22">
        <v>0.1</v>
      </c>
      <c r="U22">
        <v>0.25</v>
      </c>
    </row>
    <row r="23" spans="1:21" ht="15" x14ac:dyDescent="0.25">
      <c r="A23" s="144">
        <v>18</v>
      </c>
      <c r="B23" s="145">
        <f>LorMRichards!J30</f>
        <v>0.16976529882594193</v>
      </c>
      <c r="C23" s="145">
        <f>LorMRichardsLower!J30</f>
        <v>0.12596092670012404</v>
      </c>
      <c r="D23" s="145">
        <f>LorMRichardsUpper!J30</f>
        <v>0.21593301720021263</v>
      </c>
      <c r="E23" s="145">
        <f>LorMVB!J30</f>
        <v>0.17172602692922548</v>
      </c>
      <c r="F23" s="145">
        <f>LorMRichardsHoenig!J30</f>
        <v>0.11801808838937694</v>
      </c>
      <c r="G23">
        <v>18</v>
      </c>
      <c r="H23">
        <v>0.14000000000000001</v>
      </c>
      <c r="I23">
        <v>0.1</v>
      </c>
      <c r="K23" s="160">
        <f t="shared" si="0"/>
        <v>0.21260927732815657</v>
      </c>
      <c r="L23" s="160">
        <f t="shared" si="2"/>
        <v>0.69765298825941924</v>
      </c>
      <c r="M23" s="116"/>
      <c r="N23" s="73"/>
      <c r="O23" s="217">
        <v>17</v>
      </c>
      <c r="P23" s="218">
        <f>LorMRichards_SS!P35</f>
        <v>0.10238390583359844</v>
      </c>
      <c r="Q23" s="219">
        <f>LorMRichards_0.1!J29</f>
        <v>0.10029057909735418</v>
      </c>
      <c r="R23" s="195">
        <f t="shared" si="1"/>
        <v>2.0933267362442526E-3</v>
      </c>
      <c r="T23">
        <v>0.1</v>
      </c>
      <c r="U23">
        <v>0.25</v>
      </c>
    </row>
    <row r="24" spans="1:21" ht="15" x14ac:dyDescent="0.25">
      <c r="A24" s="144">
        <v>19</v>
      </c>
      <c r="B24" s="145">
        <f>LorMRichards!J31</f>
        <v>0.16855332421852418</v>
      </c>
      <c r="C24" s="145">
        <f>LorMRichardsLower!J31</f>
        <v>0.12506167670178439</v>
      </c>
      <c r="D24" s="145">
        <f>LorMRichardsUpper!J31</f>
        <v>0.21439144577448746</v>
      </c>
      <c r="E24" s="145">
        <f>LorMVB!J31</f>
        <v>0.16898254684264191</v>
      </c>
      <c r="F24" s="145">
        <f>LorMRichardsHoenig!J31</f>
        <v>0.11717554325598922</v>
      </c>
      <c r="G24">
        <v>19</v>
      </c>
      <c r="H24">
        <v>0.14000000000000001</v>
      </c>
      <c r="I24">
        <v>0.1</v>
      </c>
      <c r="K24" s="160">
        <f t="shared" si="0"/>
        <v>0.20395231584660115</v>
      </c>
      <c r="L24" s="160">
        <f t="shared" si="2"/>
        <v>0.6855332421852417</v>
      </c>
      <c r="M24" s="116"/>
      <c r="N24" s="73"/>
      <c r="O24" s="217">
        <v>18</v>
      </c>
      <c r="P24" s="218">
        <f>LorMRichards_SS!P36</f>
        <v>0.10140437883677812</v>
      </c>
      <c r="Q24" s="219">
        <f>LorMRichards_0.1!J30</f>
        <v>9.9400222616575246E-2</v>
      </c>
      <c r="R24" s="195">
        <f t="shared" si="1"/>
        <v>2.0041562202028768E-3</v>
      </c>
      <c r="T24">
        <v>0.1</v>
      </c>
      <c r="U24">
        <v>0.25</v>
      </c>
    </row>
    <row r="25" spans="1:21" ht="15" x14ac:dyDescent="0.25">
      <c r="A25" s="144">
        <v>20</v>
      </c>
      <c r="B25" s="145">
        <f>LorMRichards!J32</f>
        <v>0.16758605137306379</v>
      </c>
      <c r="C25" s="145">
        <f>LorMRichardsLower!J32</f>
        <v>0.1243439883118209</v>
      </c>
      <c r="D25" s="145">
        <f>LorMRichardsUpper!J32</f>
        <v>0.21316112282026439</v>
      </c>
      <c r="E25" s="145">
        <f>LorMVB!J32</f>
        <v>0.16655829789926313</v>
      </c>
      <c r="F25" s="145">
        <f>LorMRichardsHoenig!J32</f>
        <v>0.11650311082744425</v>
      </c>
      <c r="G25">
        <v>20</v>
      </c>
      <c r="H25">
        <v>0.14000000000000001</v>
      </c>
      <c r="I25">
        <v>0.1</v>
      </c>
      <c r="K25" s="160">
        <f t="shared" si="0"/>
        <v>0.19704322409331265</v>
      </c>
      <c r="L25" s="160">
        <f t="shared" si="2"/>
        <v>0.67586051373063782</v>
      </c>
      <c r="M25" s="116"/>
      <c r="N25" s="73"/>
      <c r="O25" s="217">
        <v>19</v>
      </c>
      <c r="P25" s="218">
        <f>LorMRichards_SS!P37</f>
        <v>0.10062342794959374</v>
      </c>
      <c r="Q25" s="219">
        <f>LorMRichards_0.1!J31</f>
        <v>9.869059263555964E-2</v>
      </c>
      <c r="R25" s="195">
        <f t="shared" si="1"/>
        <v>1.9328353140340981E-3</v>
      </c>
      <c r="T25">
        <v>0.1</v>
      </c>
      <c r="U25">
        <v>0.25</v>
      </c>
    </row>
    <row r="26" spans="1:21" ht="15" x14ac:dyDescent="0.25">
      <c r="A26" s="144">
        <v>21</v>
      </c>
      <c r="B26" s="145">
        <f>LorMRichards!J33</f>
        <v>0.16681323416941596</v>
      </c>
      <c r="C26" s="145">
        <f>LorMRichardsLower!J33</f>
        <v>0.12377058036676682</v>
      </c>
      <c r="D26" s="145">
        <f>LorMRichardsUpper!J33</f>
        <v>0.21217813777160022</v>
      </c>
      <c r="E26" s="145">
        <f>LorMVB!J33</f>
        <v>0.16440876039233104</v>
      </c>
      <c r="F26" s="145">
        <f>LorMRichardsHoenig!J33</f>
        <v>0.11596586081416296</v>
      </c>
      <c r="G26">
        <v>21</v>
      </c>
      <c r="H26">
        <v>0.14000000000000001</v>
      </c>
      <c r="I26">
        <v>0.1</v>
      </c>
      <c r="K26" s="160">
        <f t="shared" si="0"/>
        <v>0.19152310121011387</v>
      </c>
      <c r="L26" s="160">
        <f t="shared" si="2"/>
        <v>0.66813234169415947</v>
      </c>
      <c r="M26" s="116"/>
      <c r="N26" s="73"/>
      <c r="O26" s="217">
        <v>20</v>
      </c>
      <c r="P26" s="218">
        <f>LorMRichards_SS!P38</f>
        <v>0.1</v>
      </c>
      <c r="Q26" s="219">
        <f>LorMRichards_0.1!J32</f>
        <v>9.8124239341720057E-2</v>
      </c>
      <c r="R26" s="195">
        <f t="shared" si="1"/>
        <v>1.8757606582799485E-3</v>
      </c>
      <c r="T26">
        <v>0.1</v>
      </c>
      <c r="U26">
        <v>0.25</v>
      </c>
    </row>
    <row r="27" spans="1:21" ht="15" x14ac:dyDescent="0.25">
      <c r="A27" s="144">
        <v>22</v>
      </c>
      <c r="B27" s="145">
        <f>LorMRichards!J34</f>
        <v>0.16619524029509761</v>
      </c>
      <c r="C27" s="145">
        <f>LorMRichardsLower!J34</f>
        <v>0.12331204684052507</v>
      </c>
      <c r="D27" s="145">
        <f>LorMRichardsUpper!J34</f>
        <v>0.21139208029804293</v>
      </c>
      <c r="E27" s="145">
        <f>LorMVB!J34</f>
        <v>0.16249700592585029</v>
      </c>
      <c r="F27" s="145">
        <f>LorMRichardsHoenig!J34</f>
        <v>0.11553624147388672</v>
      </c>
      <c r="G27">
        <v>22</v>
      </c>
      <c r="H27">
        <v>0.14000000000000001</v>
      </c>
      <c r="I27">
        <v>0.1</v>
      </c>
      <c r="K27" s="160">
        <f t="shared" si="0"/>
        <v>0.18710885925069709</v>
      </c>
      <c r="L27" s="160">
        <f t="shared" si="2"/>
        <v>0.66195240295097602</v>
      </c>
      <c r="M27" s="116"/>
      <c r="N27" s="73"/>
      <c r="O27" s="217">
        <v>21</v>
      </c>
      <c r="P27" s="218">
        <f>LorMRichards_SS!P39</f>
        <v>9.9501807761661537E-2</v>
      </c>
      <c r="Q27" s="219">
        <f>LorMRichards_0.1!J33</f>
        <v>9.7671742850294715E-2</v>
      </c>
      <c r="R27" s="195">
        <f t="shared" si="1"/>
        <v>1.8300649113668216E-3</v>
      </c>
      <c r="T27">
        <v>0.1</v>
      </c>
      <c r="U27">
        <v>0.25</v>
      </c>
    </row>
    <row r="28" spans="1:21" ht="15" x14ac:dyDescent="0.25">
      <c r="A28" s="144">
        <v>23</v>
      </c>
      <c r="B28" s="145">
        <f>LorMRichards!J35</f>
        <v>0.16570070583078242</v>
      </c>
      <c r="C28" s="145">
        <f>LorMRichardsLower!J35</f>
        <v>0.12294511661484829</v>
      </c>
      <c r="D28" s="145">
        <f>LorMRichardsUpper!J35</f>
        <v>0.21076305705402557</v>
      </c>
      <c r="E28" s="145">
        <f>LorMVB!J35</f>
        <v>0.16079214350714013</v>
      </c>
      <c r="F28" s="145">
        <f>LorMRichardsHoenig!J35</f>
        <v>0.11519244911747011</v>
      </c>
      <c r="G28">
        <v>23</v>
      </c>
      <c r="H28">
        <v>0.14000000000000001</v>
      </c>
      <c r="I28">
        <v>0.1</v>
      </c>
      <c r="K28" s="160">
        <f t="shared" si="0"/>
        <v>0.1835764702198743</v>
      </c>
      <c r="L28" s="160">
        <f t="shared" si="2"/>
        <v>0.65700705830782413</v>
      </c>
      <c r="M28" s="116"/>
      <c r="N28" s="73"/>
      <c r="O28" s="217">
        <v>22</v>
      </c>
      <c r="P28" s="218">
        <f>LorMRichards_SS!P40</f>
        <v>9.9103362255371599E-2</v>
      </c>
      <c r="Q28" s="219">
        <f>LorMRichards_0.1!J34</f>
        <v>9.7309897825971423E-2</v>
      </c>
      <c r="R28" s="195">
        <f t="shared" si="1"/>
        <v>1.7934644294001767E-3</v>
      </c>
      <c r="T28">
        <v>0.1</v>
      </c>
      <c r="U28">
        <v>0.25</v>
      </c>
    </row>
    <row r="29" spans="1:21" ht="15" x14ac:dyDescent="0.25">
      <c r="A29" s="144">
        <v>24</v>
      </c>
      <c r="B29" s="145">
        <f>LorMRichards!J36</f>
        <v>0.16530474341724705</v>
      </c>
      <c r="C29" s="145">
        <f>LorMRichardsLower!J36</f>
        <v>0.12265132399119515</v>
      </c>
      <c r="D29" s="145">
        <f>LorMRichardsUpper!J36</f>
        <v>0.21025941255633451</v>
      </c>
      <c r="E29" s="145">
        <f>LorMVB!J36</f>
        <v>0.1592681345829414</v>
      </c>
      <c r="F29" s="145">
        <f>LorMRichardsHoenig!J36</f>
        <v>0.11491718245553939</v>
      </c>
      <c r="G29">
        <v>24</v>
      </c>
      <c r="H29">
        <v>0.14000000000000001</v>
      </c>
      <c r="I29">
        <v>0.1</v>
      </c>
      <c r="K29" s="160">
        <f t="shared" si="0"/>
        <v>0.18074816726605022</v>
      </c>
      <c r="L29" s="160">
        <f t="shared" si="2"/>
        <v>0.65304743417247035</v>
      </c>
      <c r="M29" s="116"/>
      <c r="N29" s="73"/>
      <c r="O29" s="217">
        <v>23</v>
      </c>
      <c r="P29" s="218">
        <f>LorMRichards_SS!P41</f>
        <v>9.8784478858202962E-2</v>
      </c>
      <c r="Q29" s="219">
        <f>LorMRichards_0.1!J35</f>
        <v>9.7020340206219594E-2</v>
      </c>
      <c r="R29" s="195">
        <f t="shared" si="1"/>
        <v>1.7641386519833685E-3</v>
      </c>
      <c r="T29">
        <v>0.1</v>
      </c>
      <c r="U29">
        <v>0.25</v>
      </c>
    </row>
    <row r="30" spans="1:21" ht="15" x14ac:dyDescent="0.25">
      <c r="A30" s="144">
        <v>25</v>
      </c>
      <c r="B30" s="145">
        <f>LorMRichards!J37</f>
        <v>0.16498756170683695</v>
      </c>
      <c r="C30" s="145">
        <f>LorMRichardsLower!J37</f>
        <v>0.12241598436376901</v>
      </c>
      <c r="D30" s="145">
        <f>LorMRichardsUpper!J37</f>
        <v>0.20985597319503257</v>
      </c>
      <c r="E30" s="145">
        <f>LorMVB!J37</f>
        <v>0.15790287839155062</v>
      </c>
      <c r="F30" s="145">
        <f>LorMRichardsHoenig!J37</f>
        <v>0.11469668286349349</v>
      </c>
      <c r="G30">
        <v>25</v>
      </c>
      <c r="H30">
        <v>0.14000000000000001</v>
      </c>
      <c r="I30">
        <v>0.1</v>
      </c>
      <c r="K30" s="160">
        <f t="shared" si="0"/>
        <v>0.17848258362026384</v>
      </c>
      <c r="L30" s="160">
        <f t="shared" si="2"/>
        <v>0.64987561706836949</v>
      </c>
      <c r="M30" s="116"/>
      <c r="N30" s="73"/>
      <c r="O30" s="217">
        <v>24</v>
      </c>
      <c r="P30" s="218">
        <f>LorMRichards_SS!P42</f>
        <v>9.852913283625768E-2</v>
      </c>
      <c r="Q30" s="219">
        <f>LorMRichards_0.1!J36</f>
        <v>9.6788498055171007E-2</v>
      </c>
      <c r="R30" s="195">
        <f t="shared" si="1"/>
        <v>1.7406347810866724E-3</v>
      </c>
    </row>
    <row r="31" spans="1:21" ht="15" x14ac:dyDescent="0.25">
      <c r="A31" s="144"/>
      <c r="B31" s="145"/>
      <c r="E31" s="145"/>
      <c r="G31">
        <v>26</v>
      </c>
      <c r="H31">
        <v>0.14000000000000001</v>
      </c>
      <c r="I31">
        <v>0.1</v>
      </c>
      <c r="L31" s="72"/>
      <c r="M31" s="116"/>
      <c r="N31" s="73"/>
      <c r="O31" s="220">
        <v>25</v>
      </c>
      <c r="P31" s="218">
        <f>LorMRichards_SS!P43</f>
        <v>9.8324575677019188E-2</v>
      </c>
      <c r="Q31" s="219">
        <f>LorMRichards_0.1!J37</f>
        <v>9.6602783230983105E-2</v>
      </c>
      <c r="R31" s="195">
        <f>SUMSQ(R6:R29)</f>
        <v>2.8486088959430635E-3</v>
      </c>
    </row>
    <row r="32" spans="1:21" ht="15" x14ac:dyDescent="0.25">
      <c r="G32">
        <v>27</v>
      </c>
      <c r="H32">
        <v>0.14000000000000001</v>
      </c>
      <c r="I32">
        <v>0.1</v>
      </c>
      <c r="L32" s="72"/>
      <c r="M32" s="116"/>
      <c r="N32" s="73"/>
      <c r="O32" s="9"/>
      <c r="P32" s="9"/>
    </row>
    <row r="33" spans="1:16" x14ac:dyDescent="0.15">
      <c r="A33" s="146" t="s">
        <v>113</v>
      </c>
      <c r="B33" s="145">
        <f>AVERAGE(B5:B30)</f>
        <v>0.26373362049094629</v>
      </c>
      <c r="C33" s="145"/>
      <c r="D33" s="145"/>
      <c r="E33" s="145">
        <f>AVERAGE(E5:E30)</f>
        <v>0.29284777123053918</v>
      </c>
      <c r="F33" s="145"/>
      <c r="G33">
        <v>28</v>
      </c>
      <c r="H33">
        <v>0.14000000000000001</v>
      </c>
      <c r="I33">
        <v>0.1</v>
      </c>
      <c r="J33" s="113"/>
    </row>
    <row r="34" spans="1:16" ht="15" x14ac:dyDescent="0.25">
      <c r="G34">
        <v>29</v>
      </c>
      <c r="H34">
        <v>0.14000000000000001</v>
      </c>
      <c r="I34">
        <v>0.1</v>
      </c>
      <c r="L34" s="72"/>
      <c r="M34" s="116"/>
      <c r="N34" s="73"/>
      <c r="O34" s="9"/>
      <c r="P34" s="9"/>
    </row>
    <row r="35" spans="1:16" ht="15" x14ac:dyDescent="0.25">
      <c r="G35">
        <v>30</v>
      </c>
      <c r="H35">
        <v>0.14000000000000001</v>
      </c>
      <c r="I35">
        <v>0.1</v>
      </c>
      <c r="L35" s="72"/>
      <c r="M35" s="116"/>
      <c r="N35" s="73"/>
      <c r="O35" s="9"/>
      <c r="P35" s="9"/>
    </row>
    <row r="36" spans="1:16" ht="15" x14ac:dyDescent="0.25">
      <c r="G36">
        <v>31</v>
      </c>
      <c r="H36">
        <v>0.14000000000000001</v>
      </c>
      <c r="I36">
        <v>0.1</v>
      </c>
      <c r="L36" s="72"/>
      <c r="M36" s="116"/>
      <c r="N36" s="73"/>
      <c r="O36" s="9"/>
      <c r="P36" s="9"/>
    </row>
    <row r="37" spans="1:16" ht="15" x14ac:dyDescent="0.25">
      <c r="G37">
        <v>32</v>
      </c>
      <c r="H37">
        <v>0.14000000000000001</v>
      </c>
      <c r="I37">
        <v>0.1</v>
      </c>
      <c r="L37" s="72"/>
      <c r="M37" s="116"/>
      <c r="N37" s="73"/>
      <c r="O37" s="9"/>
      <c r="P37" s="9"/>
    </row>
    <row r="38" spans="1:16" x14ac:dyDescent="0.15">
      <c r="G38">
        <v>33</v>
      </c>
      <c r="H38">
        <v>0.14000000000000001</v>
      </c>
      <c r="I38">
        <v>0.1</v>
      </c>
      <c r="L38" s="9"/>
      <c r="M38" s="116"/>
      <c r="N38" s="116"/>
      <c r="O38" s="9"/>
      <c r="P38" s="9"/>
    </row>
    <row r="39" spans="1:16" x14ac:dyDescent="0.15">
      <c r="G39">
        <v>34</v>
      </c>
      <c r="H39">
        <v>0.14000000000000001</v>
      </c>
      <c r="I39">
        <v>0.1</v>
      </c>
      <c r="L39" s="9"/>
      <c r="M39" s="9"/>
      <c r="N39" s="9"/>
      <c r="O39" s="9"/>
      <c r="P39" s="9"/>
    </row>
    <row r="40" spans="1:16" x14ac:dyDescent="0.15">
      <c r="L40" s="9"/>
      <c r="M40" s="9"/>
      <c r="N40" s="9"/>
      <c r="O40" s="9"/>
      <c r="P40" s="9"/>
    </row>
    <row r="77" spans="3:10" x14ac:dyDescent="0.15">
      <c r="C77" s="221"/>
      <c r="D77" s="7" t="s">
        <v>190</v>
      </c>
      <c r="E77" s="7" t="s">
        <v>201</v>
      </c>
      <c r="F77" s="7" t="s">
        <v>200</v>
      </c>
      <c r="G77" s="7"/>
      <c r="H77" s="7" t="s">
        <v>197</v>
      </c>
      <c r="I77" s="9" t="s">
        <v>198</v>
      </c>
      <c r="J77" s="7" t="s">
        <v>199</v>
      </c>
    </row>
    <row r="78" spans="3:10" x14ac:dyDescent="0.15">
      <c r="C78" s="221">
        <f t="shared" ref="C78:C102" si="3">+O7</f>
        <v>1</v>
      </c>
      <c r="D78" s="43">
        <f t="shared" ref="D78:D102" si="4">+Q7</f>
        <v>0.38322347910911508</v>
      </c>
      <c r="E78" s="43">
        <f>+D78+0.05</f>
        <v>0.43322347910911507</v>
      </c>
      <c r="F78" s="43">
        <f>+D78-0.05</f>
        <v>0.33322347910911509</v>
      </c>
      <c r="G78" s="7"/>
      <c r="H78" s="7">
        <v>0.4</v>
      </c>
      <c r="I78" s="9">
        <v>0.35</v>
      </c>
      <c r="J78" s="7">
        <v>0.5</v>
      </c>
    </row>
    <row r="79" spans="3:10" x14ac:dyDescent="0.15">
      <c r="C79" s="221">
        <f t="shared" si="3"/>
        <v>2</v>
      </c>
      <c r="D79" s="43">
        <f t="shared" si="4"/>
        <v>0.29770040811564191</v>
      </c>
      <c r="E79" s="43">
        <f t="shared" ref="E79:E102" si="5">+D79+0.05</f>
        <v>0.3477004081156419</v>
      </c>
      <c r="F79" s="43">
        <f t="shared" ref="F79:F102" si="6">+D79-0.05</f>
        <v>0.24770040811564192</v>
      </c>
      <c r="G79" s="7"/>
      <c r="H79" s="7">
        <v>0.4</v>
      </c>
      <c r="I79" s="9">
        <v>0.35</v>
      </c>
      <c r="J79" s="7">
        <v>0.5</v>
      </c>
    </row>
    <row r="80" spans="3:10" x14ac:dyDescent="0.15">
      <c r="C80" s="221">
        <f t="shared" si="3"/>
        <v>3</v>
      </c>
      <c r="D80" s="43">
        <f t="shared" si="4"/>
        <v>0.24141824912580856</v>
      </c>
      <c r="E80" s="43">
        <f t="shared" si="5"/>
        <v>0.29141824912580855</v>
      </c>
      <c r="F80" s="43">
        <f t="shared" si="6"/>
        <v>0.19141824912580857</v>
      </c>
      <c r="G80" s="7"/>
      <c r="H80" s="7">
        <v>0.248144</v>
      </c>
      <c r="I80" s="9">
        <v>0.205399</v>
      </c>
      <c r="J80" s="7">
        <v>0.27484599999999998</v>
      </c>
    </row>
    <row r="81" spans="3:10" x14ac:dyDescent="0.15">
      <c r="C81" s="221">
        <f t="shared" si="3"/>
        <v>4</v>
      </c>
      <c r="D81" s="43">
        <f t="shared" si="4"/>
        <v>0.20308718825075456</v>
      </c>
      <c r="E81" s="43">
        <f t="shared" si="5"/>
        <v>0.25308718825075455</v>
      </c>
      <c r="F81" s="43">
        <f t="shared" si="6"/>
        <v>0.15308718825075457</v>
      </c>
      <c r="G81" s="7"/>
      <c r="H81" s="7">
        <v>0.207649</v>
      </c>
      <c r="I81" s="9">
        <v>0.17612800000000001</v>
      </c>
      <c r="J81" s="7">
        <v>0.22822300000000001</v>
      </c>
    </row>
    <row r="82" spans="3:10" x14ac:dyDescent="0.15">
      <c r="C82" s="221">
        <f t="shared" si="3"/>
        <v>5</v>
      </c>
      <c r="D82" s="43">
        <f t="shared" si="4"/>
        <v>0.17621135374656022</v>
      </c>
      <c r="E82" s="43">
        <f t="shared" si="5"/>
        <v>0.22621135374656021</v>
      </c>
      <c r="F82" s="43">
        <f t="shared" si="6"/>
        <v>0.12621135374656023</v>
      </c>
      <c r="G82" s="7"/>
      <c r="H82" s="7">
        <v>0.17752699999999999</v>
      </c>
      <c r="I82" s="9">
        <v>0.15754599999999999</v>
      </c>
      <c r="J82" s="7">
        <v>0.19189000000000001</v>
      </c>
    </row>
    <row r="83" spans="3:10" x14ac:dyDescent="0.15">
      <c r="C83" s="221">
        <f t="shared" si="3"/>
        <v>6</v>
      </c>
      <c r="D83" s="43">
        <f t="shared" si="4"/>
        <v>0.15690139833953576</v>
      </c>
      <c r="E83" s="43">
        <f t="shared" si="5"/>
        <v>0.20690139833953575</v>
      </c>
      <c r="F83" s="43">
        <f t="shared" si="6"/>
        <v>0.10690139833953576</v>
      </c>
      <c r="G83" s="7"/>
      <c r="H83" s="7">
        <v>0.15246399999999999</v>
      </c>
      <c r="I83" s="9">
        <v>0.143515</v>
      </c>
      <c r="J83" s="7">
        <v>0.16217899999999999</v>
      </c>
    </row>
    <row r="84" spans="3:10" x14ac:dyDescent="0.15">
      <c r="C84" s="221">
        <f t="shared" si="3"/>
        <v>7</v>
      </c>
      <c r="D84" s="43">
        <f t="shared" si="4"/>
        <v>0.14274226147455232</v>
      </c>
      <c r="E84" s="43">
        <f t="shared" si="5"/>
        <v>0.19274226147455231</v>
      </c>
      <c r="F84" s="43">
        <f t="shared" si="6"/>
        <v>9.274226147455232E-2</v>
      </c>
      <c r="G84" s="7"/>
      <c r="H84" s="7">
        <v>0.13342399999999999</v>
      </c>
      <c r="I84" s="9">
        <v>0.12710299999999999</v>
      </c>
      <c r="J84" s="7">
        <v>0.14039460000000001</v>
      </c>
    </row>
    <row r="85" spans="3:10" x14ac:dyDescent="0.15">
      <c r="C85" s="221">
        <f t="shared" si="3"/>
        <v>8</v>
      </c>
      <c r="D85" s="43">
        <f t="shared" si="4"/>
        <v>0.13218376280096134</v>
      </c>
      <c r="E85" s="43">
        <f t="shared" si="5"/>
        <v>0.18218376280096132</v>
      </c>
      <c r="F85" s="43">
        <f t="shared" si="6"/>
        <v>8.2183762800961332E-2</v>
      </c>
      <c r="G85" s="7"/>
      <c r="H85" s="7">
        <v>0.114909</v>
      </c>
      <c r="I85" s="9">
        <v>0.10568</v>
      </c>
      <c r="J85" s="7">
        <v>0.126945</v>
      </c>
    </row>
    <row r="86" spans="3:10" x14ac:dyDescent="0.15">
      <c r="C86" s="221">
        <f t="shared" si="3"/>
        <v>9</v>
      </c>
      <c r="D86" s="43">
        <f t="shared" si="4"/>
        <v>0.12420049723891036</v>
      </c>
      <c r="E86" s="43">
        <f t="shared" si="5"/>
        <v>0.17420049723891035</v>
      </c>
      <c r="F86" s="43">
        <f t="shared" si="6"/>
        <v>7.4200497238910354E-2</v>
      </c>
      <c r="G86" s="7"/>
      <c r="H86" s="7">
        <v>9.9388000000000004E-2</v>
      </c>
      <c r="I86" s="9">
        <v>8.5488300000000003E-2</v>
      </c>
      <c r="J86" s="7">
        <v>0.11699900000000001</v>
      </c>
    </row>
    <row r="87" spans="3:10" x14ac:dyDescent="0.15">
      <c r="C87" s="221">
        <f t="shared" si="3"/>
        <v>10</v>
      </c>
      <c r="D87" s="43">
        <f t="shared" si="4"/>
        <v>0.11809554589074961</v>
      </c>
      <c r="E87" s="43">
        <f t="shared" si="5"/>
        <v>0.1680955458907496</v>
      </c>
      <c r="F87" s="43">
        <f t="shared" si="6"/>
        <v>6.8095545890749606E-2</v>
      </c>
      <c r="G87" s="7"/>
      <c r="H87" s="7">
        <v>8.6634199999999995E-2</v>
      </c>
      <c r="I87" s="9">
        <v>6.7087900000000006E-2</v>
      </c>
      <c r="J87" s="7">
        <v>0.10809000000000001</v>
      </c>
    </row>
    <row r="88" spans="3:10" x14ac:dyDescent="0.15">
      <c r="C88" s="221">
        <f t="shared" si="3"/>
        <v>11</v>
      </c>
      <c r="D88" s="43">
        <f t="shared" si="4"/>
        <v>0.11338360936013597</v>
      </c>
      <c r="E88" s="43">
        <f t="shared" si="5"/>
        <v>0.16338360936013596</v>
      </c>
      <c r="F88" s="43">
        <f t="shared" si="6"/>
        <v>6.338360936013597E-2</v>
      </c>
      <c r="G88" s="7"/>
      <c r="H88" s="7">
        <v>7.4999999999999997E-2</v>
      </c>
      <c r="I88" s="9">
        <v>0.05</v>
      </c>
      <c r="J88" s="7">
        <v>0.1</v>
      </c>
    </row>
    <row r="89" spans="3:10" x14ac:dyDescent="0.15">
      <c r="C89" s="221">
        <f t="shared" si="3"/>
        <v>12</v>
      </c>
      <c r="D89" s="43">
        <f t="shared" si="4"/>
        <v>0.10971938739731027</v>
      </c>
      <c r="E89" s="43">
        <f t="shared" si="5"/>
        <v>0.15971938739731029</v>
      </c>
      <c r="F89" s="43">
        <f t="shared" si="6"/>
        <v>5.9719387397310267E-2</v>
      </c>
      <c r="G89" s="7"/>
      <c r="H89" s="7">
        <v>7.4999999999999997E-2</v>
      </c>
      <c r="I89" s="9">
        <v>0.05</v>
      </c>
      <c r="J89" s="7">
        <v>0.1</v>
      </c>
    </row>
    <row r="90" spans="3:10" x14ac:dyDescent="0.15">
      <c r="C90" s="221">
        <f t="shared" si="3"/>
        <v>13</v>
      </c>
      <c r="D90" s="43">
        <f t="shared" si="4"/>
        <v>0.10685248896517968</v>
      </c>
      <c r="E90" s="43">
        <f t="shared" si="5"/>
        <v>0.15685248896517967</v>
      </c>
      <c r="F90" s="43">
        <f t="shared" si="6"/>
        <v>5.6852488965179679E-2</v>
      </c>
      <c r="G90" s="7"/>
      <c r="H90" s="7">
        <v>7.4999999999999997E-2</v>
      </c>
      <c r="I90" s="9">
        <v>0.05</v>
      </c>
      <c r="J90" s="7">
        <v>0.1</v>
      </c>
    </row>
    <row r="91" spans="3:10" x14ac:dyDescent="0.15">
      <c r="C91" s="221">
        <f t="shared" si="3"/>
        <v>14</v>
      </c>
      <c r="D91" s="43">
        <f t="shared" si="4"/>
        <v>0.10459832100448412</v>
      </c>
      <c r="E91" s="43">
        <f t="shared" si="5"/>
        <v>0.15459832100448412</v>
      </c>
      <c r="F91" s="43">
        <f t="shared" si="6"/>
        <v>5.4598321004484113E-2</v>
      </c>
      <c r="G91" s="7"/>
      <c r="H91" s="7">
        <v>7.4999999999999997E-2</v>
      </c>
      <c r="I91" s="9">
        <v>0.05</v>
      </c>
      <c r="J91" s="7">
        <v>0.1</v>
      </c>
    </row>
    <row r="92" spans="3:10" x14ac:dyDescent="0.15">
      <c r="C92" s="221">
        <f t="shared" si="3"/>
        <v>15</v>
      </c>
      <c r="D92" s="43">
        <f t="shared" si="4"/>
        <v>0.1028188445583295</v>
      </c>
      <c r="E92" s="43">
        <f t="shared" si="5"/>
        <v>0.1528188445583295</v>
      </c>
      <c r="F92" s="43">
        <f t="shared" si="6"/>
        <v>5.2818844558329497E-2</v>
      </c>
      <c r="G92" s="7"/>
      <c r="H92" s="7">
        <v>7.4999999999999997E-2</v>
      </c>
      <c r="I92" s="9">
        <v>0.05</v>
      </c>
      <c r="J92" s="7">
        <v>0.1</v>
      </c>
    </row>
    <row r="93" spans="3:10" x14ac:dyDescent="0.15">
      <c r="C93" s="221">
        <f t="shared" si="3"/>
        <v>16</v>
      </c>
      <c r="D93" s="43">
        <f t="shared" si="4"/>
        <v>0.10140956909151454</v>
      </c>
      <c r="E93" s="43">
        <f t="shared" si="5"/>
        <v>0.15140956909151454</v>
      </c>
      <c r="F93" s="43">
        <f t="shared" si="6"/>
        <v>5.1409569091514534E-2</v>
      </c>
      <c r="G93" s="7"/>
      <c r="H93" s="7">
        <v>7.4999999999999997E-2</v>
      </c>
      <c r="I93" s="9">
        <v>0.05</v>
      </c>
      <c r="J93" s="7">
        <v>0.1</v>
      </c>
    </row>
    <row r="94" spans="3:10" x14ac:dyDescent="0.15">
      <c r="C94" s="221">
        <f t="shared" si="3"/>
        <v>17</v>
      </c>
      <c r="D94" s="43">
        <f t="shared" si="4"/>
        <v>0.10029057909735418</v>
      </c>
      <c r="E94" s="43">
        <f t="shared" si="5"/>
        <v>0.15029057909735419</v>
      </c>
      <c r="F94" s="43">
        <f t="shared" si="6"/>
        <v>5.0290579097354182E-2</v>
      </c>
      <c r="G94" s="7"/>
      <c r="H94" s="7">
        <v>7.4999999999999997E-2</v>
      </c>
      <c r="I94" s="9">
        <v>0.05</v>
      </c>
      <c r="J94" s="7">
        <v>0.1</v>
      </c>
    </row>
    <row r="95" spans="3:10" x14ac:dyDescent="0.15">
      <c r="C95" s="221">
        <f t="shared" si="3"/>
        <v>18</v>
      </c>
      <c r="D95" s="43">
        <f t="shared" si="4"/>
        <v>9.9400222616575246E-2</v>
      </c>
      <c r="E95" s="43">
        <f t="shared" si="5"/>
        <v>0.14940022261657526</v>
      </c>
      <c r="F95" s="43">
        <f t="shared" si="6"/>
        <v>4.9400222616575243E-2</v>
      </c>
      <c r="G95" s="7"/>
      <c r="H95" s="7">
        <v>7.4999999999999997E-2</v>
      </c>
      <c r="I95" s="9">
        <v>0.05</v>
      </c>
      <c r="J95" s="7">
        <v>0.1</v>
      </c>
    </row>
    <row r="96" spans="3:10" x14ac:dyDescent="0.15">
      <c r="C96" s="221">
        <f t="shared" si="3"/>
        <v>19</v>
      </c>
      <c r="D96" s="43">
        <f t="shared" si="4"/>
        <v>9.869059263555964E-2</v>
      </c>
      <c r="E96" s="43">
        <f t="shared" si="5"/>
        <v>0.14869059263555964</v>
      </c>
      <c r="F96" s="43">
        <f t="shared" si="6"/>
        <v>4.8690592635559637E-2</v>
      </c>
      <c r="G96" s="7"/>
      <c r="H96" s="7">
        <v>7.4999999999999997E-2</v>
      </c>
      <c r="I96" s="9">
        <v>0.05</v>
      </c>
      <c r="J96" s="7">
        <v>0.1</v>
      </c>
    </row>
    <row r="97" spans="3:10" x14ac:dyDescent="0.15">
      <c r="C97" s="221">
        <f t="shared" si="3"/>
        <v>20</v>
      </c>
      <c r="D97" s="43">
        <f t="shared" si="4"/>
        <v>9.8124239341720057E-2</v>
      </c>
      <c r="E97" s="43">
        <f t="shared" si="5"/>
        <v>0.14812423934172006</v>
      </c>
      <c r="F97" s="43">
        <f t="shared" si="6"/>
        <v>4.8124239341720054E-2</v>
      </c>
      <c r="G97" s="7"/>
      <c r="H97" s="7">
        <v>7.4999999999999997E-2</v>
      </c>
      <c r="I97" s="9">
        <v>0.05</v>
      </c>
      <c r="J97" s="7">
        <v>0.1</v>
      </c>
    </row>
    <row r="98" spans="3:10" x14ac:dyDescent="0.15">
      <c r="C98" s="221">
        <f t="shared" si="3"/>
        <v>21</v>
      </c>
      <c r="D98" s="43">
        <f t="shared" si="4"/>
        <v>9.7671742850294715E-2</v>
      </c>
      <c r="E98" s="43">
        <f t="shared" si="5"/>
        <v>0.14767174285029472</v>
      </c>
      <c r="F98" s="43">
        <f t="shared" si="6"/>
        <v>4.7671742850294713E-2</v>
      </c>
      <c r="G98" s="7"/>
      <c r="H98" s="7">
        <v>7.4999999999999997E-2</v>
      </c>
      <c r="I98" s="9">
        <v>0.05</v>
      </c>
      <c r="J98" s="7">
        <v>0.1</v>
      </c>
    </row>
    <row r="99" spans="3:10" x14ac:dyDescent="0.15">
      <c r="C99" s="221">
        <f t="shared" si="3"/>
        <v>22</v>
      </c>
      <c r="D99" s="43">
        <f t="shared" si="4"/>
        <v>9.7309897825971423E-2</v>
      </c>
      <c r="E99" s="43">
        <f t="shared" si="5"/>
        <v>0.14730989782597143</v>
      </c>
      <c r="F99" s="43">
        <f t="shared" si="6"/>
        <v>4.730989782597142E-2</v>
      </c>
      <c r="G99" s="7"/>
      <c r="H99" s="7">
        <v>7.4999999999999997E-2</v>
      </c>
      <c r="I99" s="9">
        <v>0.05</v>
      </c>
      <c r="J99" s="7">
        <v>0.1</v>
      </c>
    </row>
    <row r="100" spans="3:10" x14ac:dyDescent="0.15">
      <c r="C100" s="221">
        <f t="shared" si="3"/>
        <v>23</v>
      </c>
      <c r="D100" s="43">
        <f t="shared" si="4"/>
        <v>9.7020340206219594E-2</v>
      </c>
      <c r="E100" s="43">
        <f t="shared" si="5"/>
        <v>0.1470203402062196</v>
      </c>
      <c r="F100" s="43">
        <f t="shared" si="6"/>
        <v>4.7020340206219591E-2</v>
      </c>
      <c r="G100" s="7"/>
      <c r="H100" s="7">
        <v>7.4999999999999997E-2</v>
      </c>
      <c r="I100" s="9">
        <v>0.05</v>
      </c>
      <c r="J100" s="7">
        <v>0.1</v>
      </c>
    </row>
    <row r="101" spans="3:10" x14ac:dyDescent="0.15">
      <c r="C101" s="221">
        <f t="shared" si="3"/>
        <v>24</v>
      </c>
      <c r="D101" s="43">
        <f t="shared" si="4"/>
        <v>9.6788498055171007E-2</v>
      </c>
      <c r="E101" s="43">
        <f t="shared" si="5"/>
        <v>0.14678849805517102</v>
      </c>
      <c r="F101" s="43">
        <f t="shared" si="6"/>
        <v>4.6788498055171004E-2</v>
      </c>
      <c r="G101" s="7"/>
      <c r="H101" s="7">
        <v>7.4999999999999997E-2</v>
      </c>
      <c r="I101" s="9">
        <v>0.05</v>
      </c>
      <c r="J101" s="7">
        <v>0.1</v>
      </c>
    </row>
    <row r="102" spans="3:10" x14ac:dyDescent="0.15">
      <c r="C102" s="221">
        <f t="shared" si="3"/>
        <v>25</v>
      </c>
      <c r="D102" s="43">
        <f t="shared" si="4"/>
        <v>9.6602783230983105E-2</v>
      </c>
      <c r="E102" s="43">
        <f t="shared" si="5"/>
        <v>0.14660278323098311</v>
      </c>
      <c r="F102" s="43">
        <f t="shared" si="6"/>
        <v>4.6602783230983102E-2</v>
      </c>
      <c r="G102" s="7"/>
      <c r="H102" s="7">
        <v>7.4999999999999997E-2</v>
      </c>
      <c r="I102" s="9">
        <v>0.05</v>
      </c>
      <c r="J102" s="7">
        <v>0.1</v>
      </c>
    </row>
    <row r="103" spans="3:10" x14ac:dyDescent="0.15">
      <c r="G103" s="7"/>
      <c r="I103" s="9"/>
    </row>
    <row r="104" spans="3:10" x14ac:dyDescent="0.15">
      <c r="G104" s="7"/>
      <c r="I104" s="9"/>
    </row>
    <row r="105" spans="3:10" x14ac:dyDescent="0.15">
      <c r="G105" s="7"/>
      <c r="I105" s="9"/>
    </row>
    <row r="106" spans="3:10" x14ac:dyDescent="0.15">
      <c r="G106" s="7"/>
      <c r="I106" s="9"/>
    </row>
    <row r="107" spans="3:10" x14ac:dyDescent="0.15">
      <c r="G107" s="7"/>
      <c r="I107" s="9"/>
    </row>
    <row r="108" spans="3:10" x14ac:dyDescent="0.15">
      <c r="G108" s="7"/>
      <c r="I108" s="9"/>
    </row>
  </sheetData>
  <phoneticPr fontId="37"/>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6"/>
  <sheetViews>
    <sheetView topLeftCell="A49" zoomScale="85" zoomScaleNormal="85" workbookViewId="0">
      <selection activeCell="G29" sqref="G29"/>
    </sheetView>
  </sheetViews>
  <sheetFormatPr defaultRowHeight="13.5" x14ac:dyDescent="0.15"/>
  <cols>
    <col min="1" max="1" width="18.75" customWidth="1"/>
    <col min="3" max="3" width="16.75" customWidth="1"/>
    <col min="4" max="4" width="7.625" customWidth="1"/>
    <col min="5" max="5" width="22.625" customWidth="1"/>
    <col min="6" max="6" width="52.25" customWidth="1"/>
    <col min="7" max="7" width="12" customWidth="1"/>
    <col min="8" max="8" width="11" customWidth="1"/>
    <col min="10" max="10" width="11.75" bestFit="1" customWidth="1"/>
    <col min="11" max="15" width="10.875" style="87" customWidth="1"/>
    <col min="16" max="16" width="15.875" style="87" customWidth="1"/>
    <col min="17" max="20" width="10.875" style="87" customWidth="1"/>
    <col min="22" max="22" width="11.625" customWidth="1"/>
    <col min="23" max="23" width="13.25" bestFit="1" customWidth="1"/>
    <col min="27" max="29" width="8.375" customWidth="1"/>
  </cols>
  <sheetData>
    <row r="1" spans="1:58" ht="14.25" x14ac:dyDescent="0.2">
      <c r="E1" s="12" t="s">
        <v>5</v>
      </c>
      <c r="F1" s="147" t="s">
        <v>5</v>
      </c>
    </row>
    <row r="2" spans="1:58" ht="14.25" x14ac:dyDescent="0.2">
      <c r="E2" s="12" t="s">
        <v>5</v>
      </c>
      <c r="F2" s="147" t="s">
        <v>5</v>
      </c>
    </row>
    <row r="3" spans="1:58" ht="14.25" x14ac:dyDescent="0.2">
      <c r="E3" s="12" t="s">
        <v>5</v>
      </c>
      <c r="F3" s="147" t="s">
        <v>5</v>
      </c>
    </row>
    <row r="5" spans="1:58" x14ac:dyDescent="0.15">
      <c r="F5" s="157" t="s">
        <v>5</v>
      </c>
    </row>
    <row r="6" spans="1:58" x14ac:dyDescent="0.15">
      <c r="B6" t="s">
        <v>4</v>
      </c>
      <c r="C6" s="147">
        <v>318.89999999999998</v>
      </c>
      <c r="F6" s="157" t="s">
        <v>38</v>
      </c>
    </row>
    <row r="7" spans="1:58" x14ac:dyDescent="0.15">
      <c r="B7" t="s">
        <v>6</v>
      </c>
      <c r="C7" s="147">
        <v>0.09</v>
      </c>
    </row>
    <row r="8" spans="1:58" ht="14.25" x14ac:dyDescent="0.2">
      <c r="B8" t="s">
        <v>167</v>
      </c>
      <c r="C8" s="147">
        <v>-0.65</v>
      </c>
      <c r="E8" s="3" t="s">
        <v>1</v>
      </c>
      <c r="F8" s="157">
        <v>3.5080100000000003E-5</v>
      </c>
      <c r="H8" s="157" t="s">
        <v>5</v>
      </c>
    </row>
    <row r="9" spans="1:58" ht="14.25" x14ac:dyDescent="0.2">
      <c r="E9" s="3" t="s">
        <v>2</v>
      </c>
      <c r="F9" s="157">
        <v>2.8784510000000001</v>
      </c>
      <c r="H9" s="157" t="s">
        <v>5</v>
      </c>
    </row>
    <row r="10" spans="1:58" x14ac:dyDescent="0.15">
      <c r="H10" t="s">
        <v>168</v>
      </c>
    </row>
    <row r="11" spans="1:58" s="45" customFormat="1" ht="15" x14ac:dyDescent="0.25">
      <c r="A11" s="49" t="s">
        <v>169</v>
      </c>
      <c r="D11" s="74"/>
      <c r="K11" s="120" t="s">
        <v>42</v>
      </c>
      <c r="L11" s="120" t="s">
        <v>46</v>
      </c>
      <c r="M11" s="120" t="s">
        <v>97</v>
      </c>
      <c r="N11" s="120" t="s">
        <v>92</v>
      </c>
      <c r="O11" s="120" t="s">
        <v>56</v>
      </c>
      <c r="P11" s="133" t="s">
        <v>98</v>
      </c>
      <c r="Q11" s="120" t="s">
        <v>65</v>
      </c>
      <c r="R11" s="133" t="s">
        <v>96</v>
      </c>
      <c r="S11" s="134" t="s">
        <v>75</v>
      </c>
      <c r="T11" s="134" t="s">
        <v>82</v>
      </c>
      <c r="U11" s="136" t="s">
        <v>99</v>
      </c>
      <c r="V11" s="137" t="s">
        <v>108</v>
      </c>
      <c r="W11" s="136" t="s">
        <v>104</v>
      </c>
      <c r="X11" s="136" t="s">
        <v>109</v>
      </c>
      <c r="Y11" s="136" t="s">
        <v>110</v>
      </c>
      <c r="Z11" s="127" t="s">
        <v>111</v>
      </c>
      <c r="AD11" s="47"/>
      <c r="AE11" s="47"/>
      <c r="AF11" s="47"/>
      <c r="AG11" s="47"/>
      <c r="AH11" s="48"/>
      <c r="AK11" s="46"/>
      <c r="AL11" s="46"/>
      <c r="AM11" s="46"/>
      <c r="AN11" s="46"/>
      <c r="AO11" s="46"/>
      <c r="AP11" s="46"/>
      <c r="BC11" s="50"/>
      <c r="BE11" s="50"/>
      <c r="BF11" s="81"/>
    </row>
    <row r="12" spans="1:58" s="45" customFormat="1" ht="39" customHeight="1" x14ac:dyDescent="0.25">
      <c r="A12" s="222" t="s">
        <v>85</v>
      </c>
      <c r="B12" s="224" t="s">
        <v>86</v>
      </c>
      <c r="C12" s="148"/>
      <c r="D12" s="226" t="s">
        <v>87</v>
      </c>
      <c r="E12" s="227"/>
      <c r="F12" s="56"/>
      <c r="G12" s="56"/>
      <c r="H12" s="224" t="s">
        <v>88</v>
      </c>
      <c r="I12" s="168"/>
      <c r="J12" s="168"/>
      <c r="K12" s="83" t="s">
        <v>42</v>
      </c>
      <c r="L12" s="83" t="s">
        <v>46</v>
      </c>
      <c r="M12" s="83" t="s">
        <v>53</v>
      </c>
      <c r="N12" s="83" t="s">
        <v>92</v>
      </c>
      <c r="O12" s="83" t="s">
        <v>56</v>
      </c>
      <c r="P12" s="84" t="s">
        <v>61</v>
      </c>
      <c r="Q12" s="83" t="s">
        <v>65</v>
      </c>
      <c r="R12" s="83" t="s">
        <v>68</v>
      </c>
      <c r="S12" s="85" t="s">
        <v>75</v>
      </c>
      <c r="T12" s="86" t="s">
        <v>82</v>
      </c>
      <c r="U12" s="45" t="s">
        <v>99</v>
      </c>
      <c r="V12" s="87" t="s">
        <v>102</v>
      </c>
      <c r="W12" s="45" t="s">
        <v>104</v>
      </c>
      <c r="X12" s="45" t="s">
        <v>105</v>
      </c>
      <c r="Y12" s="45" t="s">
        <v>106</v>
      </c>
      <c r="Z12" s="45" t="s">
        <v>111</v>
      </c>
      <c r="AA12" s="127" t="s">
        <v>38</v>
      </c>
      <c r="AB12" s="127" t="s">
        <v>5</v>
      </c>
      <c r="AC12" s="127" t="s">
        <v>5</v>
      </c>
      <c r="AD12" s="47"/>
      <c r="AE12" s="47"/>
      <c r="AF12" s="47"/>
      <c r="AG12" s="47"/>
      <c r="AH12" s="48"/>
      <c r="AK12" s="46"/>
      <c r="AL12" s="46"/>
      <c r="AM12" s="46"/>
      <c r="AN12" s="46"/>
      <c r="AO12" s="46"/>
      <c r="AP12" s="46"/>
      <c r="BC12" s="50"/>
      <c r="BE12" s="50"/>
      <c r="BF12" s="81"/>
    </row>
    <row r="13" spans="1:58" s="45" customFormat="1" ht="48.75" customHeight="1" x14ac:dyDescent="0.25">
      <c r="A13" s="223"/>
      <c r="B13" s="225" t="s">
        <v>86</v>
      </c>
      <c r="C13" s="149" t="s">
        <v>89</v>
      </c>
      <c r="D13" s="80" t="s">
        <v>90</v>
      </c>
      <c r="E13" s="70" t="s">
        <v>24</v>
      </c>
      <c r="F13" s="150" t="s">
        <v>112</v>
      </c>
      <c r="G13" s="150" t="s">
        <v>107</v>
      </c>
      <c r="H13" s="225"/>
      <c r="I13" s="168" t="s">
        <v>91</v>
      </c>
      <c r="J13" s="168" t="s">
        <v>103</v>
      </c>
      <c r="AC13" s="47"/>
      <c r="AD13" s="47"/>
      <c r="AE13" s="47"/>
      <c r="AF13" s="47"/>
      <c r="AG13" s="47"/>
      <c r="AH13" s="48"/>
      <c r="AK13" s="46"/>
      <c r="AL13" s="46"/>
      <c r="AM13" s="46"/>
      <c r="AN13" s="46"/>
      <c r="AO13" s="46"/>
      <c r="AP13" s="57"/>
      <c r="AQ13" s="57"/>
      <c r="AR13" s="57"/>
      <c r="AS13" s="57"/>
      <c r="AT13" s="57"/>
      <c r="AU13" s="57"/>
      <c r="AV13" s="62"/>
      <c r="AW13" s="63"/>
      <c r="AX13" s="57"/>
      <c r="AY13" s="57"/>
      <c r="AZ13" s="57"/>
      <c r="BA13" s="57"/>
      <c r="BB13" s="64"/>
      <c r="BC13" s="64"/>
      <c r="BD13" s="67"/>
      <c r="BE13" s="50"/>
      <c r="BF13" s="81"/>
    </row>
    <row r="14" spans="1:58" s="88" customFormat="1" ht="15" x14ac:dyDescent="0.25">
      <c r="A14" s="71" t="s">
        <v>170</v>
      </c>
      <c r="B14" s="89">
        <v>34</v>
      </c>
      <c r="C14" s="90">
        <v>100</v>
      </c>
      <c r="D14" s="147">
        <v>318.89999999999998</v>
      </c>
      <c r="E14" s="147">
        <v>0.09</v>
      </c>
      <c r="F14" s="147">
        <v>-0.65</v>
      </c>
      <c r="G14" s="91">
        <f>a*(D14)^b</f>
        <v>564.55684483776338</v>
      </c>
      <c r="H14" s="92">
        <v>18</v>
      </c>
      <c r="I14" s="93">
        <v>4.5</v>
      </c>
      <c r="J14" s="93">
        <v>120</v>
      </c>
      <c r="K14" s="169">
        <f xml:space="preserve"> 3*$E14/(EXP(0.38*$B14*$E14)-1)</f>
        <v>0.12278991760333405</v>
      </c>
      <c r="L14" s="169">
        <f>3*$E14/(EXP($I14*$E14)-1)</f>
        <v>0.54075435226000901</v>
      </c>
      <c r="M14" s="169">
        <f>EXP(1.46+-1.01*LN(B14))</f>
        <v>0.12225770453127094</v>
      </c>
      <c r="N14" s="169">
        <f>4.899*$B14^-0.916</f>
        <v>0.19376384836087343</v>
      </c>
      <c r="O14" s="169">
        <f>EXP(-0.0152+0.6543*LN($E14)-0.279*LN($D14/10)+0.4634*LN($H14))</f>
        <v>0.29602832361807596</v>
      </c>
      <c r="P14" s="94">
        <f>EXP(-0.1464+0.6543*LN($E14)-0.279*LN($D14/10)+0.4634*LN($H14))</f>
        <v>0.25962937613279996</v>
      </c>
      <c r="Q14" s="95">
        <f>0.0189+2.06*$E14</f>
        <v>0.20430000000000001</v>
      </c>
      <c r="R14" s="88">
        <f>-0.0666+2.52*$E14</f>
        <v>0.16020000000000001</v>
      </c>
      <c r="S14" s="88">
        <f>1.5*$E14</f>
        <v>0.13500000000000001</v>
      </c>
      <c r="T14" s="88">
        <f>2.996/$B14</f>
        <v>8.8117647058823523E-2</v>
      </c>
      <c r="U14" s="88">
        <f>4.118*E14^0.73*D14^-0.33</f>
        <v>0.10594424803870556</v>
      </c>
      <c r="V14" s="88">
        <f>1.0661*D14^(-0.1172)*E14^0.5092</f>
        <v>0.15917318978514547</v>
      </c>
      <c r="W14" s="105">
        <f>(3*E14*D14*(1-J14/D14))/J14</f>
        <v>0.4475249999999999</v>
      </c>
      <c r="X14" s="88">
        <f>(1.521/I14^0.72)-0.155</f>
        <v>0.36001064305704311</v>
      </c>
      <c r="Y14" s="88">
        <f>1.046*G14^-0.096</f>
        <v>0.5693348224036443</v>
      </c>
      <c r="Z14" s="45">
        <f>1.65/B14</f>
        <v>4.8529411764705876E-2</v>
      </c>
      <c r="AA14" s="127" t="s">
        <v>5</v>
      </c>
      <c r="AB14" s="127" t="s">
        <v>5</v>
      </c>
      <c r="AC14" s="127" t="s">
        <v>5</v>
      </c>
      <c r="AD14" s="96"/>
      <c r="AE14" s="96"/>
      <c r="AF14" s="96"/>
      <c r="AG14" s="96"/>
      <c r="AH14" s="97"/>
      <c r="AK14" s="98"/>
      <c r="AL14" s="98"/>
      <c r="AM14" s="98"/>
      <c r="AN14" s="98"/>
      <c r="AO14" s="98"/>
      <c r="AP14" s="98"/>
      <c r="AR14" s="91" t="s">
        <v>5</v>
      </c>
      <c r="BC14" s="99"/>
      <c r="BE14" s="99"/>
      <c r="BF14" s="100"/>
    </row>
    <row r="15" spans="1:58" s="45" customFormat="1" ht="15" x14ac:dyDescent="0.25">
      <c r="A15" s="71" t="s">
        <v>171</v>
      </c>
      <c r="B15" s="89">
        <v>34</v>
      </c>
      <c r="C15" s="90">
        <v>100</v>
      </c>
      <c r="D15" s="147">
        <v>318.89999999999998</v>
      </c>
      <c r="E15" s="147">
        <v>0.09</v>
      </c>
      <c r="F15" s="147">
        <v>-0.65</v>
      </c>
      <c r="G15" s="91">
        <f>a*(D15)^b</f>
        <v>564.55684483776338</v>
      </c>
      <c r="H15" s="92">
        <v>18</v>
      </c>
      <c r="I15" s="93">
        <v>9</v>
      </c>
      <c r="J15" s="93">
        <v>185</v>
      </c>
      <c r="K15" s="169">
        <f xml:space="preserve"> 3*$E15/(EXP(0.38*$B15*$E15)-1)</f>
        <v>0.12278991760333405</v>
      </c>
      <c r="L15" s="169">
        <f>3*$E15/(EXP($I15*$E15)-1)</f>
        <v>0.21636210592664423</v>
      </c>
      <c r="M15" s="169">
        <f>EXP(1.46+-1.01*LN(B15))</f>
        <v>0.12225770453127094</v>
      </c>
      <c r="N15" s="169">
        <f>4.899*$B15^-0.916</f>
        <v>0.19376384836087343</v>
      </c>
      <c r="O15" s="169">
        <f>EXP(-0.0152+0.6543*LN($E15)-0.279*LN($D15/10)+0.4634*LN($H15))</f>
        <v>0.29602832361807596</v>
      </c>
      <c r="P15" s="94">
        <f>EXP(-0.1464+0.6543*LN($E15)-0.279*LN($D15/10)+0.4634*LN($H15))</f>
        <v>0.25962937613279996</v>
      </c>
      <c r="Q15" s="95">
        <f>0.0189+2.06*$E15</f>
        <v>0.20430000000000001</v>
      </c>
      <c r="R15" s="88">
        <f>-0.0666+2.52*$E15</f>
        <v>0.16020000000000001</v>
      </c>
      <c r="S15" s="88">
        <f>1.5*$E15</f>
        <v>0.13500000000000001</v>
      </c>
      <c r="T15" s="88">
        <f>2.996/$B15</f>
        <v>8.8117647058823523E-2</v>
      </c>
      <c r="U15" s="88">
        <f>4.118*E15^0.73*D15^-0.33</f>
        <v>0.10594424803870556</v>
      </c>
      <c r="V15" s="88">
        <f>1.0661*D15^(-0.1172)*E15^0.5092</f>
        <v>0.15917318978514547</v>
      </c>
      <c r="W15" s="105">
        <f>(3*E15*D15*(1-J15/D15))/J15</f>
        <v>0.19542162162162158</v>
      </c>
      <c r="X15" s="88">
        <f>(1.521/I15^0.72)-0.155</f>
        <v>0.15766164410443265</v>
      </c>
      <c r="Y15" s="88">
        <f>1.046*G15^-0.096</f>
        <v>0.5693348224036443</v>
      </c>
      <c r="Z15" s="45">
        <f>1.65/B15</f>
        <v>4.8529411764705876E-2</v>
      </c>
      <c r="AA15" s="127" t="s">
        <v>5</v>
      </c>
      <c r="AB15" s="127" t="s">
        <v>5</v>
      </c>
      <c r="AC15" s="127" t="s">
        <v>5</v>
      </c>
      <c r="AD15" s="47"/>
      <c r="AE15" s="47"/>
      <c r="AF15" s="47"/>
      <c r="AG15" s="47"/>
      <c r="AH15" s="48"/>
      <c r="AK15" s="46"/>
      <c r="AL15" s="46"/>
      <c r="AM15" s="46"/>
      <c r="AN15" s="46"/>
      <c r="AO15" s="46"/>
      <c r="AP15" s="46"/>
      <c r="AR15" t="s">
        <v>5</v>
      </c>
      <c r="BC15" s="50"/>
      <c r="BE15" s="50"/>
      <c r="BF15" s="81"/>
    </row>
    <row r="16" spans="1:58" s="88" customFormat="1" ht="15" x14ac:dyDescent="0.25">
      <c r="A16" s="71" t="s">
        <v>172</v>
      </c>
      <c r="B16" s="89">
        <v>34</v>
      </c>
      <c r="C16" s="90">
        <v>100</v>
      </c>
      <c r="D16" s="147">
        <v>270.60000000000002</v>
      </c>
      <c r="E16" s="147">
        <v>0.22</v>
      </c>
      <c r="F16" s="147" t="s">
        <v>5</v>
      </c>
      <c r="G16" s="91">
        <f>a*(D16)^b</f>
        <v>351.88211096341047</v>
      </c>
      <c r="H16" s="92">
        <v>18</v>
      </c>
      <c r="I16" s="93">
        <v>4.5</v>
      </c>
      <c r="J16" s="93">
        <v>117</v>
      </c>
      <c r="K16" s="169">
        <f xml:space="preserve"> 3*$E16/(EXP(0.38*$B16*$E16)-1)</f>
        <v>4.0849438809596954E-2</v>
      </c>
      <c r="L16" s="169">
        <f>3*$E16/(EXP($I16*$E16)-1)</f>
        <v>0.39024748536683174</v>
      </c>
      <c r="M16" s="169">
        <f>EXP(1.46+-1.01*LN(B16))</f>
        <v>0.12225770453127094</v>
      </c>
      <c r="N16" s="169">
        <f>4.899*$B16^-0.916</f>
        <v>0.19376384836087343</v>
      </c>
      <c r="O16" s="169">
        <f>EXP(-0.0152+0.6543*LN($E16)-0.279*LN($D16/10)+0.4634*LN($H16))</f>
        <v>0.55618555933687419</v>
      </c>
      <c r="P16" s="94">
        <f>EXP(-0.1464+0.6543*LN($E16)-0.279*LN($D16/10)+0.4634*LN($H16))</f>
        <v>0.48779828909549511</v>
      </c>
      <c r="Q16" s="95">
        <f>0.0189+2.06*$E16</f>
        <v>0.47209999999999996</v>
      </c>
      <c r="R16" s="88">
        <f>-0.0666+2.52*$E16</f>
        <v>0.48780000000000001</v>
      </c>
      <c r="S16" s="88">
        <f>1.5*$E16</f>
        <v>0.33</v>
      </c>
      <c r="T16" s="88">
        <f>2.996/$B16</f>
        <v>8.8117647058823523E-2</v>
      </c>
      <c r="U16" s="88">
        <f>4.118*E16^0.73*D16^-0.33</f>
        <v>0.21477648368172908</v>
      </c>
      <c r="V16" s="88">
        <f>1.0661*D16^(-0.1172)*E16^0.5092</f>
        <v>0.25579423670477142</v>
      </c>
      <c r="W16" s="105">
        <f>(3*E16*D16*(1-J16/D16))/J16</f>
        <v>0.86646153846153862</v>
      </c>
      <c r="X16" s="88">
        <f>(1.521/I16^0.72)-0.155</f>
        <v>0.36001064305704311</v>
      </c>
      <c r="Y16" s="88">
        <f>1.046*G16^-0.096</f>
        <v>0.59576852378140099</v>
      </c>
      <c r="Z16" s="45">
        <f>1.65/B16</f>
        <v>4.8529411764705876E-2</v>
      </c>
      <c r="AA16" s="127" t="s">
        <v>5</v>
      </c>
      <c r="AB16" s="127" t="s">
        <v>5</v>
      </c>
      <c r="AC16" s="127" t="s">
        <v>5</v>
      </c>
      <c r="AD16" s="96"/>
      <c r="AE16" s="96"/>
      <c r="AF16" s="96"/>
      <c r="AG16" s="96"/>
      <c r="AH16" s="97"/>
      <c r="AK16" s="98"/>
      <c r="AL16" s="98"/>
      <c r="AM16" s="98"/>
      <c r="AN16" s="98"/>
      <c r="AO16" s="98"/>
      <c r="AP16" s="98"/>
      <c r="AR16" s="91" t="s">
        <v>5</v>
      </c>
      <c r="BC16" s="99"/>
      <c r="BE16" s="99"/>
      <c r="BF16" s="100"/>
    </row>
    <row r="17" spans="1:58" s="45" customFormat="1" ht="15" x14ac:dyDescent="0.25">
      <c r="A17" s="71" t="s">
        <v>173</v>
      </c>
      <c r="B17" s="89">
        <v>34</v>
      </c>
      <c r="C17" s="90">
        <v>100</v>
      </c>
      <c r="D17" s="147">
        <v>270.60000000000002</v>
      </c>
      <c r="E17" s="147">
        <v>0.22</v>
      </c>
      <c r="F17" s="147" t="s">
        <v>5</v>
      </c>
      <c r="G17" s="91">
        <f>a*(D17)^b</f>
        <v>351.88211096341047</v>
      </c>
      <c r="H17" s="92">
        <v>18</v>
      </c>
      <c r="I17" s="93">
        <v>9</v>
      </c>
      <c r="J17" s="93">
        <v>196</v>
      </c>
      <c r="K17" s="169">
        <f xml:space="preserve"> 3*$E17/(EXP(0.38*$B17*$E17)-1)</f>
        <v>4.0849438809596954E-2</v>
      </c>
      <c r="L17" s="169">
        <f>3*$E17/(EXP($I17*$E17)-1)</f>
        <v>0.10572275705868699</v>
      </c>
      <c r="M17" s="169">
        <f>EXP(1.46+-1.01*LN(B17))</f>
        <v>0.12225770453127094</v>
      </c>
      <c r="N17" s="169">
        <f>4.899*$B17^-0.916</f>
        <v>0.19376384836087343</v>
      </c>
      <c r="O17" s="169">
        <f>EXP(-0.0152+0.6543*LN($E17)-0.279*LN($D17/10)+0.4634*LN($H17))</f>
        <v>0.55618555933687419</v>
      </c>
      <c r="P17" s="94">
        <f>EXP(-0.1464+0.6543*LN($E17)-0.279*LN($D17/10)+0.4634*LN($H17))</f>
        <v>0.48779828909549511</v>
      </c>
      <c r="Q17" s="95">
        <f>0.0189+2.06*$E17</f>
        <v>0.47209999999999996</v>
      </c>
      <c r="R17" s="88">
        <f>-0.0666+2.52*$E17</f>
        <v>0.48780000000000001</v>
      </c>
      <c r="S17" s="88">
        <f>1.5*$E17</f>
        <v>0.33</v>
      </c>
      <c r="T17" s="88">
        <f>2.996/$B17</f>
        <v>8.8117647058823523E-2</v>
      </c>
      <c r="U17" s="88">
        <f>4.118*E17^0.73*D17^-0.33</f>
        <v>0.21477648368172908</v>
      </c>
      <c r="V17" s="88">
        <f>1.0661*D17^(-0.1172)*E17^0.5092</f>
        <v>0.25579423670477142</v>
      </c>
      <c r="W17" s="105">
        <f>(3*E17*D17*(1-J17/D17))/J17</f>
        <v>0.25120408163265318</v>
      </c>
      <c r="X17" s="88">
        <f>(1.521/I17^0.72)-0.155</f>
        <v>0.15766164410443265</v>
      </c>
      <c r="Y17" s="88">
        <f>1.046*G17^-0.096</f>
        <v>0.59576852378140099</v>
      </c>
      <c r="Z17" s="45">
        <f>1.65/B17</f>
        <v>4.8529411764705876E-2</v>
      </c>
      <c r="AA17" s="127" t="s">
        <v>5</v>
      </c>
      <c r="AB17" s="127" t="s">
        <v>5</v>
      </c>
      <c r="AC17" s="127" t="s">
        <v>5</v>
      </c>
      <c r="AD17" s="47"/>
      <c r="AE17" s="47"/>
      <c r="AF17" s="47"/>
      <c r="AG17" s="47"/>
      <c r="AH17" s="48"/>
      <c r="AK17" s="46"/>
      <c r="AL17" s="46"/>
      <c r="AM17" s="46"/>
      <c r="AN17" s="46"/>
      <c r="AO17" s="46"/>
      <c r="AP17" s="46"/>
      <c r="AR17" t="s">
        <v>5</v>
      </c>
      <c r="BC17" s="50"/>
      <c r="BE17" s="50"/>
      <c r="BF17" s="81"/>
    </row>
    <row r="18" spans="1:58" x14ac:dyDescent="0.15">
      <c r="F18" t="s">
        <v>5</v>
      </c>
    </row>
    <row r="19" spans="1:58" x14ac:dyDescent="0.15">
      <c r="G19" s="179" t="s">
        <v>5</v>
      </c>
    </row>
    <row r="20" spans="1:58" ht="15" x14ac:dyDescent="0.25">
      <c r="A20" s="53" t="s">
        <v>40</v>
      </c>
      <c r="B20" s="54" t="s">
        <v>39</v>
      </c>
      <c r="C20" s="55"/>
      <c r="D20" s="75"/>
      <c r="E20" s="56" t="s">
        <v>41</v>
      </c>
      <c r="F20" s="58"/>
      <c r="G20" s="58"/>
    </row>
    <row r="21" spans="1:58" ht="15" x14ac:dyDescent="0.25">
      <c r="A21" s="57" t="s">
        <v>42</v>
      </c>
      <c r="B21" s="58" t="s">
        <v>43</v>
      </c>
      <c r="C21" s="59" t="s">
        <v>44</v>
      </c>
      <c r="D21" s="76"/>
      <c r="E21" s="59" t="s">
        <v>45</v>
      </c>
      <c r="F21" s="59"/>
      <c r="G21" s="59"/>
    </row>
    <row r="22" spans="1:58" ht="48" x14ac:dyDescent="0.35">
      <c r="A22" s="57" t="s">
        <v>46</v>
      </c>
      <c r="B22" s="58" t="s">
        <v>47</v>
      </c>
      <c r="C22" s="60" t="s">
        <v>48</v>
      </c>
      <c r="D22" s="77"/>
      <c r="E22" s="59" t="s">
        <v>49</v>
      </c>
      <c r="F22" s="59"/>
      <c r="G22" s="59"/>
    </row>
    <row r="23" spans="1:58" ht="15.75" x14ac:dyDescent="0.3">
      <c r="A23" s="57" t="s">
        <v>50</v>
      </c>
      <c r="B23" s="58" t="s">
        <v>3</v>
      </c>
      <c r="C23" s="59" t="s">
        <v>51</v>
      </c>
      <c r="D23" s="76"/>
      <c r="E23" s="59" t="s">
        <v>52</v>
      </c>
      <c r="F23" s="59"/>
      <c r="G23" s="59"/>
    </row>
    <row r="24" spans="1:58" ht="15" x14ac:dyDescent="0.25">
      <c r="A24" s="57" t="s">
        <v>53</v>
      </c>
      <c r="B24" s="58" t="s">
        <v>3</v>
      </c>
      <c r="C24" s="59" t="s">
        <v>54</v>
      </c>
      <c r="D24" s="76"/>
      <c r="E24" s="59" t="s">
        <v>55</v>
      </c>
      <c r="F24" s="59"/>
      <c r="G24" s="59"/>
    </row>
    <row r="25" spans="1:58" ht="15" x14ac:dyDescent="0.25">
      <c r="A25" s="57" t="s">
        <v>56</v>
      </c>
      <c r="B25" s="58" t="s">
        <v>57</v>
      </c>
      <c r="C25" s="59" t="s">
        <v>44</v>
      </c>
      <c r="D25" s="76"/>
      <c r="E25" s="61" t="s">
        <v>58</v>
      </c>
      <c r="F25" s="61"/>
      <c r="G25" s="61"/>
    </row>
    <row r="26" spans="1:58" ht="15" x14ac:dyDescent="0.25">
      <c r="A26" s="57"/>
      <c r="B26" s="58"/>
      <c r="C26" s="59" t="s">
        <v>59</v>
      </c>
      <c r="D26" s="76"/>
      <c r="E26" s="59" t="s">
        <v>60</v>
      </c>
      <c r="F26" s="59"/>
      <c r="G26" s="59"/>
    </row>
    <row r="27" spans="1:58" ht="39" x14ac:dyDescent="0.25">
      <c r="A27" s="62" t="s">
        <v>61</v>
      </c>
      <c r="B27" s="58" t="s">
        <v>57</v>
      </c>
      <c r="C27" s="59" t="s">
        <v>62</v>
      </c>
      <c r="D27" s="76"/>
      <c r="E27" s="59" t="s">
        <v>63</v>
      </c>
      <c r="F27" s="59"/>
      <c r="G27" s="59"/>
    </row>
    <row r="28" spans="1:58" ht="15" x14ac:dyDescent="0.25">
      <c r="A28" s="63"/>
      <c r="B28" s="58"/>
      <c r="C28" s="52"/>
      <c r="D28" s="78"/>
      <c r="E28" s="59" t="s">
        <v>64</v>
      </c>
      <c r="F28" s="59"/>
      <c r="G28" s="59"/>
    </row>
    <row r="29" spans="1:58" ht="15" x14ac:dyDescent="0.25">
      <c r="A29" s="57" t="s">
        <v>65</v>
      </c>
      <c r="B29" s="58" t="s">
        <v>24</v>
      </c>
      <c r="C29" s="59" t="s">
        <v>66</v>
      </c>
      <c r="D29" s="76"/>
      <c r="E29" s="59" t="s">
        <v>67</v>
      </c>
      <c r="F29" s="59"/>
      <c r="G29" s="59"/>
    </row>
    <row r="30" spans="1:58" ht="15" x14ac:dyDescent="0.25">
      <c r="A30" s="57" t="s">
        <v>68</v>
      </c>
      <c r="B30" s="58" t="s">
        <v>24</v>
      </c>
      <c r="C30" s="59" t="s">
        <v>66</v>
      </c>
      <c r="D30" s="76"/>
      <c r="E30" s="59" t="s">
        <v>93</v>
      </c>
      <c r="F30" s="59"/>
      <c r="G30" s="59"/>
    </row>
    <row r="31" spans="1:58" ht="15" x14ac:dyDescent="0.25">
      <c r="A31" s="57" t="s">
        <v>69</v>
      </c>
      <c r="B31" s="58" t="s">
        <v>24</v>
      </c>
      <c r="C31" s="59" t="s">
        <v>62</v>
      </c>
      <c r="D31" s="76"/>
      <c r="E31" s="59" t="s">
        <v>70</v>
      </c>
      <c r="F31" s="59"/>
      <c r="G31" s="59"/>
    </row>
    <row r="32" spans="1:58" ht="15" x14ac:dyDescent="0.25">
      <c r="A32" s="57" t="s">
        <v>71</v>
      </c>
      <c r="B32" s="58" t="s">
        <v>72</v>
      </c>
      <c r="C32" s="52" t="s">
        <v>73</v>
      </c>
      <c r="D32" s="78"/>
      <c r="E32" s="59" t="s">
        <v>74</v>
      </c>
      <c r="F32" s="59"/>
      <c r="G32" s="59"/>
    </row>
    <row r="33" spans="1:23" ht="15" x14ac:dyDescent="0.25">
      <c r="A33" s="64" t="s">
        <v>75</v>
      </c>
      <c r="B33" s="58" t="s">
        <v>24</v>
      </c>
      <c r="C33" s="65" t="s">
        <v>76</v>
      </c>
      <c r="D33" s="74"/>
      <c r="E33" s="59" t="s">
        <v>77</v>
      </c>
      <c r="F33" s="59"/>
      <c r="G33" s="59"/>
    </row>
    <row r="34" spans="1:23" ht="45" x14ac:dyDescent="0.25">
      <c r="A34" s="64" t="s">
        <v>78</v>
      </c>
      <c r="B34" s="66" t="s">
        <v>79</v>
      </c>
      <c r="C34" s="65" t="s">
        <v>80</v>
      </c>
      <c r="D34" s="74"/>
      <c r="E34" s="59" t="s">
        <v>81</v>
      </c>
      <c r="F34" s="59"/>
      <c r="G34" s="59"/>
    </row>
    <row r="35" spans="1:23" ht="15" x14ac:dyDescent="0.25">
      <c r="A35" s="67" t="s">
        <v>82</v>
      </c>
      <c r="B35" s="68" t="s">
        <v>3</v>
      </c>
      <c r="C35" s="69" t="s">
        <v>83</v>
      </c>
      <c r="D35" s="79"/>
      <c r="E35" s="68" t="s">
        <v>84</v>
      </c>
      <c r="F35" s="58"/>
      <c r="G35" s="58"/>
    </row>
    <row r="38" spans="1:23" x14ac:dyDescent="0.15">
      <c r="I38" t="s">
        <v>5</v>
      </c>
    </row>
    <row r="39" spans="1:23" x14ac:dyDescent="0.15">
      <c r="D39" s="82"/>
      <c r="G39" s="124" t="s">
        <v>125</v>
      </c>
      <c r="I39" t="s">
        <v>5</v>
      </c>
    </row>
    <row r="40" spans="1:23" s="114" customFormat="1" ht="12" customHeight="1" x14ac:dyDescent="0.2">
      <c r="C40" s="129" t="s">
        <v>124</v>
      </c>
      <c r="D40" s="150" t="s">
        <v>135</v>
      </c>
      <c r="E40" s="129" t="s">
        <v>114</v>
      </c>
      <c r="F40" s="130" t="s">
        <v>41</v>
      </c>
      <c r="G40" s="114" t="s">
        <v>176</v>
      </c>
      <c r="H40" s="114" t="s">
        <v>177</v>
      </c>
      <c r="I40" s="114" t="s">
        <v>178</v>
      </c>
      <c r="J40" s="114" t="s">
        <v>179</v>
      </c>
      <c r="K40" s="173" t="s">
        <v>175</v>
      </c>
      <c r="L40" s="123"/>
      <c r="M40" s="123"/>
      <c r="N40" s="123"/>
      <c r="O40" s="123"/>
      <c r="P40" s="123"/>
      <c r="Q40" s="123"/>
      <c r="R40" s="123"/>
      <c r="S40" s="123"/>
      <c r="T40" s="123"/>
    </row>
    <row r="41" spans="1:23" ht="12" customHeight="1" x14ac:dyDescent="0.25">
      <c r="A41" s="57"/>
      <c r="B41" s="58"/>
      <c r="C41" s="120" t="s">
        <v>42</v>
      </c>
      <c r="D41" s="131" t="s">
        <v>43</v>
      </c>
      <c r="E41" s="126" t="s">
        <v>126</v>
      </c>
      <c r="F41" s="126" t="s">
        <v>45</v>
      </c>
      <c r="G41" s="174">
        <v>0.11687443996455252</v>
      </c>
      <c r="H41" s="174">
        <v>0.11687443996455252</v>
      </c>
      <c r="I41" s="115">
        <v>3.7387689089554837E-2</v>
      </c>
      <c r="J41" s="115">
        <v>3.7387689089554837E-2</v>
      </c>
      <c r="K41" s="87" t="s">
        <v>174</v>
      </c>
      <c r="L41" s="170"/>
      <c r="M41"/>
      <c r="U41" s="87"/>
      <c r="V41" s="87"/>
      <c r="W41" s="87"/>
    </row>
    <row r="42" spans="1:23" ht="12" customHeight="1" x14ac:dyDescent="0.25">
      <c r="A42" s="57"/>
      <c r="B42" s="58"/>
      <c r="C42" s="120" t="s">
        <v>46</v>
      </c>
      <c r="D42" s="131" t="s">
        <v>47</v>
      </c>
      <c r="E42" s="132" t="s">
        <v>123</v>
      </c>
      <c r="F42" s="126" t="s">
        <v>134</v>
      </c>
      <c r="G42" s="174">
        <v>0.54075435226000901</v>
      </c>
      <c r="H42" s="174">
        <v>0.21636210592664423</v>
      </c>
      <c r="I42" s="115">
        <v>0.39024748536683174</v>
      </c>
      <c r="J42" s="115">
        <v>0.10572275705868699</v>
      </c>
      <c r="K42" s="87" t="s">
        <v>174</v>
      </c>
      <c r="L42" s="170"/>
      <c r="M42"/>
      <c r="U42" s="87"/>
      <c r="V42" s="87"/>
      <c r="W42" s="87"/>
    </row>
    <row r="43" spans="1:23" ht="12" customHeight="1" x14ac:dyDescent="0.25">
      <c r="A43" s="106"/>
      <c r="B43" s="58"/>
      <c r="C43" s="120" t="s">
        <v>97</v>
      </c>
      <c r="D43" s="131" t="s">
        <v>3</v>
      </c>
      <c r="E43" s="126" t="s">
        <v>51</v>
      </c>
      <c r="F43" s="126" t="s">
        <v>52</v>
      </c>
      <c r="G43" s="174">
        <v>0.11873020530810875</v>
      </c>
      <c r="H43" s="174">
        <v>0.11873020530810875</v>
      </c>
      <c r="I43" s="115">
        <v>0.11873020530810875</v>
      </c>
      <c r="J43" s="115">
        <v>0.11873020530810875</v>
      </c>
      <c r="L43" s="170"/>
      <c r="M43"/>
      <c r="U43" s="87"/>
      <c r="V43" s="87"/>
      <c r="W43" s="87"/>
    </row>
    <row r="44" spans="1:23" ht="12" customHeight="1" x14ac:dyDescent="0.25">
      <c r="A44" s="106"/>
      <c r="B44" s="58"/>
      <c r="C44" s="120" t="s">
        <v>92</v>
      </c>
      <c r="D44" s="131" t="s">
        <v>3</v>
      </c>
      <c r="E44" s="120" t="s">
        <v>119</v>
      </c>
      <c r="F44" s="125" t="s">
        <v>129</v>
      </c>
      <c r="G44" s="174">
        <v>0.18868662257633637</v>
      </c>
      <c r="H44" s="174">
        <v>0.18868662257633637</v>
      </c>
      <c r="I44" s="115">
        <v>0.18868662257633637</v>
      </c>
      <c r="J44" s="115">
        <v>0.18868662257633637</v>
      </c>
      <c r="L44" s="170"/>
      <c r="M44"/>
      <c r="U44" s="87"/>
      <c r="V44" s="87"/>
      <c r="W44" s="87"/>
    </row>
    <row r="45" spans="1:23" ht="12" customHeight="1" x14ac:dyDescent="0.25">
      <c r="A45" s="57"/>
      <c r="B45" s="58"/>
      <c r="C45" s="120" t="s">
        <v>56</v>
      </c>
      <c r="D45" s="131" t="s">
        <v>57</v>
      </c>
      <c r="E45" s="126" t="s">
        <v>120</v>
      </c>
      <c r="F45" s="61" t="s">
        <v>58</v>
      </c>
      <c r="G45" s="174">
        <v>0.29602832361807596</v>
      </c>
      <c r="H45" s="174">
        <v>0.29602832361807596</v>
      </c>
      <c r="I45" s="115">
        <v>0.55618555933687419</v>
      </c>
      <c r="J45" s="115">
        <v>0.55618555933687419</v>
      </c>
      <c r="K45" s="87" t="s">
        <v>174</v>
      </c>
      <c r="L45" s="170"/>
      <c r="M45"/>
      <c r="U45" s="87"/>
      <c r="V45" s="87"/>
      <c r="W45" s="87"/>
    </row>
    <row r="46" spans="1:23" ht="12" customHeight="1" x14ac:dyDescent="0.25">
      <c r="B46" s="58"/>
      <c r="C46" s="133" t="s">
        <v>98</v>
      </c>
      <c r="D46" s="131" t="s">
        <v>57</v>
      </c>
      <c r="E46" s="126" t="s">
        <v>62</v>
      </c>
      <c r="F46" s="126" t="s">
        <v>63</v>
      </c>
      <c r="G46" s="175">
        <v>0.25962937613279996</v>
      </c>
      <c r="H46" s="175">
        <v>0.25962937613279996</v>
      </c>
      <c r="I46" s="115">
        <v>0.48779828909549511</v>
      </c>
      <c r="J46" s="115">
        <v>0.48779828909549511</v>
      </c>
      <c r="K46" s="87" t="s">
        <v>174</v>
      </c>
      <c r="L46" s="171"/>
      <c r="M46"/>
      <c r="U46" s="87"/>
      <c r="V46" s="87"/>
      <c r="W46" s="87"/>
    </row>
    <row r="47" spans="1:23" ht="12" customHeight="1" x14ac:dyDescent="0.25">
      <c r="A47" s="57"/>
      <c r="B47" s="58"/>
      <c r="C47" s="120" t="s">
        <v>65</v>
      </c>
      <c r="D47" s="120"/>
      <c r="E47" s="126" t="s">
        <v>66</v>
      </c>
      <c r="F47" s="126" t="s">
        <v>67</v>
      </c>
      <c r="G47" s="175">
        <v>0.20430000000000001</v>
      </c>
      <c r="H47" s="175">
        <v>0.20430000000000001</v>
      </c>
      <c r="I47" s="115">
        <v>0.47209999999999996</v>
      </c>
      <c r="J47" s="115">
        <v>0.47209999999999996</v>
      </c>
      <c r="K47" s="87" t="s">
        <v>174</v>
      </c>
      <c r="L47" s="170"/>
      <c r="M47"/>
      <c r="U47" s="87"/>
      <c r="V47" s="87"/>
      <c r="W47" s="87"/>
    </row>
    <row r="48" spans="1:23" ht="12" customHeight="1" x14ac:dyDescent="0.25">
      <c r="B48" s="58"/>
      <c r="C48" s="133" t="s">
        <v>96</v>
      </c>
      <c r="D48" s="131" t="s">
        <v>24</v>
      </c>
      <c r="E48" s="126" t="s">
        <v>66</v>
      </c>
      <c r="F48" s="126" t="s">
        <v>93</v>
      </c>
      <c r="G48" s="174">
        <v>0.16020000000000001</v>
      </c>
      <c r="H48" s="174">
        <v>0.16020000000000001</v>
      </c>
      <c r="I48" s="115">
        <v>0.48780000000000001</v>
      </c>
      <c r="J48" s="115">
        <v>0.48780000000000001</v>
      </c>
      <c r="K48" s="87" t="s">
        <v>174</v>
      </c>
      <c r="L48" s="170"/>
      <c r="M48"/>
      <c r="U48" s="87"/>
      <c r="V48" s="87"/>
      <c r="W48" s="87"/>
    </row>
    <row r="49" spans="1:23" ht="12" customHeight="1" x14ac:dyDescent="0.25">
      <c r="A49" s="107"/>
      <c r="B49" s="58"/>
      <c r="C49" s="134" t="s">
        <v>75</v>
      </c>
      <c r="D49" s="131" t="s">
        <v>24</v>
      </c>
      <c r="E49" s="135" t="s">
        <v>76</v>
      </c>
      <c r="F49" s="126" t="s">
        <v>77</v>
      </c>
      <c r="G49" s="174">
        <v>0.13500000000000001</v>
      </c>
      <c r="H49" s="174">
        <v>0.13500000000000001</v>
      </c>
      <c r="I49" s="115">
        <v>0.33</v>
      </c>
      <c r="J49" s="115">
        <v>0.33</v>
      </c>
      <c r="K49" s="87" t="s">
        <v>174</v>
      </c>
      <c r="L49" s="172"/>
      <c r="M49"/>
      <c r="U49" s="87"/>
      <c r="V49" s="87"/>
      <c r="W49" s="87"/>
    </row>
    <row r="50" spans="1:23" ht="12" customHeight="1" x14ac:dyDescent="0.25">
      <c r="A50" s="108"/>
      <c r="B50" s="58"/>
      <c r="C50" s="134" t="s">
        <v>82</v>
      </c>
      <c r="D50" s="131" t="s">
        <v>3</v>
      </c>
      <c r="E50" s="136" t="s">
        <v>83</v>
      </c>
      <c r="F50" s="126" t="s">
        <v>84</v>
      </c>
      <c r="G50" s="174">
        <v>8.5599999999999996E-2</v>
      </c>
      <c r="H50" s="174">
        <v>8.5599999999999996E-2</v>
      </c>
      <c r="I50" s="115">
        <v>8.5599999999999996E-2</v>
      </c>
      <c r="J50" s="115">
        <v>8.5599999999999996E-2</v>
      </c>
      <c r="L50" s="172"/>
      <c r="M50"/>
      <c r="U50" s="87"/>
      <c r="V50" s="87"/>
      <c r="W50" s="87"/>
    </row>
    <row r="51" spans="1:23" ht="12" customHeight="1" x14ac:dyDescent="0.25">
      <c r="A51" s="51"/>
      <c r="B51" s="58"/>
      <c r="C51" s="136" t="s">
        <v>99</v>
      </c>
      <c r="D51" s="131" t="s">
        <v>115</v>
      </c>
      <c r="E51" s="120" t="s">
        <v>119</v>
      </c>
      <c r="F51" s="127" t="s">
        <v>131</v>
      </c>
      <c r="G51" s="174">
        <v>0.10594424803870556</v>
      </c>
      <c r="H51" s="174">
        <v>0.10594424803870556</v>
      </c>
      <c r="I51" s="115">
        <v>0.21477648368172908</v>
      </c>
      <c r="J51" s="115">
        <v>0.21477648368172908</v>
      </c>
      <c r="K51" s="87" t="s">
        <v>174</v>
      </c>
      <c r="L51" s="52"/>
      <c r="M51"/>
      <c r="U51" s="87"/>
      <c r="V51" s="87"/>
      <c r="W51" s="87"/>
    </row>
    <row r="52" spans="1:23" ht="12" customHeight="1" x14ac:dyDescent="0.25">
      <c r="A52" s="121"/>
      <c r="B52" s="58"/>
      <c r="C52" s="137" t="s">
        <v>108</v>
      </c>
      <c r="D52" s="131" t="s">
        <v>115</v>
      </c>
      <c r="E52" s="128" t="s">
        <v>102</v>
      </c>
      <c r="F52" s="128" t="s">
        <v>130</v>
      </c>
      <c r="G52" s="174">
        <v>0.15917318978514547</v>
      </c>
      <c r="H52" s="174">
        <v>0.15917318978514547</v>
      </c>
      <c r="I52" s="115">
        <v>0.25579423670477142</v>
      </c>
      <c r="J52" s="115">
        <v>0.25579423670477142</v>
      </c>
      <c r="K52" s="87" t="s">
        <v>174</v>
      </c>
      <c r="M52"/>
      <c r="U52" s="87"/>
      <c r="V52" s="87"/>
      <c r="W52" s="87"/>
    </row>
    <row r="53" spans="1:23" ht="12" customHeight="1" x14ac:dyDescent="0.25">
      <c r="A53" s="51"/>
      <c r="B53" s="58"/>
      <c r="C53" s="136" t="s">
        <v>104</v>
      </c>
      <c r="D53" s="131" t="s">
        <v>116</v>
      </c>
      <c r="E53" s="136" t="s">
        <v>121</v>
      </c>
      <c r="F53" s="127" t="s">
        <v>132</v>
      </c>
      <c r="G53" s="176">
        <v>0.4475249999999999</v>
      </c>
      <c r="H53" s="176">
        <v>0.19542162162162158</v>
      </c>
      <c r="I53" s="115">
        <v>0.86646153846153862</v>
      </c>
      <c r="J53" s="115">
        <v>0.25120408163265318</v>
      </c>
      <c r="K53" s="87" t="s">
        <v>174</v>
      </c>
      <c r="L53" s="45"/>
      <c r="M53"/>
      <c r="U53" s="87"/>
      <c r="V53" s="87"/>
      <c r="W53" s="87"/>
    </row>
    <row r="54" spans="1:23" ht="12" customHeight="1" x14ac:dyDescent="0.25">
      <c r="A54" s="51"/>
      <c r="B54" s="82"/>
      <c r="C54" s="136" t="s">
        <v>109</v>
      </c>
      <c r="D54" s="131" t="s">
        <v>117</v>
      </c>
      <c r="E54" s="136" t="s">
        <v>122</v>
      </c>
      <c r="F54" s="127" t="s">
        <v>128</v>
      </c>
      <c r="G54" s="174">
        <v>0.36001064305704311</v>
      </c>
      <c r="H54" s="174">
        <v>0.15766164410443265</v>
      </c>
      <c r="I54" s="115">
        <v>0.36001064305704311</v>
      </c>
      <c r="J54" s="115">
        <v>0.15766164410443265</v>
      </c>
      <c r="L54" s="45"/>
      <c r="M54"/>
      <c r="U54" s="87"/>
      <c r="V54" s="87"/>
      <c r="W54" s="87"/>
    </row>
    <row r="55" spans="1:23" ht="12" customHeight="1" x14ac:dyDescent="0.25">
      <c r="A55" s="51"/>
      <c r="B55" s="82"/>
      <c r="C55" s="136" t="s">
        <v>110</v>
      </c>
      <c r="D55" s="127" t="s">
        <v>118</v>
      </c>
      <c r="E55" s="136" t="s">
        <v>106</v>
      </c>
      <c r="F55" s="127" t="s">
        <v>133</v>
      </c>
      <c r="G55" s="174">
        <v>0.5693348224036443</v>
      </c>
      <c r="H55" s="174">
        <v>0.5693348224036443</v>
      </c>
      <c r="I55" s="115">
        <v>0.59576852378140099</v>
      </c>
      <c r="J55" s="115">
        <v>0.59576852378140099</v>
      </c>
      <c r="K55" s="87" t="s">
        <v>174</v>
      </c>
      <c r="L55" s="45"/>
      <c r="M55"/>
      <c r="U55" s="87"/>
      <c r="V55" s="87"/>
      <c r="W55" s="87"/>
    </row>
    <row r="56" spans="1:23" ht="12" customHeight="1" x14ac:dyDescent="0.25">
      <c r="A56" s="45"/>
      <c r="C56" s="127" t="s">
        <v>111</v>
      </c>
      <c r="D56" s="131" t="s">
        <v>3</v>
      </c>
      <c r="E56" s="135" t="s">
        <v>76</v>
      </c>
      <c r="F56" s="127" t="s">
        <v>127</v>
      </c>
      <c r="G56" s="177">
        <v>4.7142857142857139E-2</v>
      </c>
      <c r="H56" s="177">
        <v>4.7142857142857139E-2</v>
      </c>
      <c r="I56" s="115">
        <v>4.7142857142857139E-2</v>
      </c>
      <c r="J56" s="115">
        <v>4.7142857142857139E-2</v>
      </c>
      <c r="L56" s="45"/>
      <c r="M56"/>
      <c r="U56" s="87"/>
      <c r="V56" s="87"/>
      <c r="W56" s="87"/>
    </row>
    <row r="58" spans="1:23" x14ac:dyDescent="0.15">
      <c r="G58" s="122">
        <f>MEDIAN(G41:G56)</f>
        <v>0.1744433112881682</v>
      </c>
      <c r="H58" s="122">
        <f>MEDIAN(H41:H56)</f>
        <v>0.15968659489257275</v>
      </c>
      <c r="I58" s="122">
        <f>MEDIAN(I41:I56)</f>
        <v>0.34500532152852159</v>
      </c>
      <c r="J58" s="122">
        <f>MEDIAN(J41:J56)</f>
        <v>0.23299028265719113</v>
      </c>
      <c r="L58"/>
      <c r="M58"/>
      <c r="U58" s="87"/>
      <c r="V58" s="87"/>
      <c r="W58" s="87"/>
    </row>
    <row r="62" spans="1:23" x14ac:dyDescent="0.15">
      <c r="A62" s="82"/>
      <c r="B62" s="82"/>
      <c r="C62" s="82"/>
      <c r="D62" s="82"/>
    </row>
    <row r="63" spans="1:23" x14ac:dyDescent="0.15">
      <c r="A63" s="82"/>
      <c r="B63" s="82"/>
      <c r="C63" s="82"/>
      <c r="D63" s="82"/>
    </row>
    <row r="64" spans="1:23" x14ac:dyDescent="0.15">
      <c r="A64" s="82"/>
      <c r="B64" s="82"/>
      <c r="C64" s="82"/>
      <c r="D64" s="82"/>
    </row>
    <row r="65" spans="1:4" x14ac:dyDescent="0.15">
      <c r="A65" s="228"/>
      <c r="B65" s="229"/>
      <c r="C65" s="82"/>
      <c r="D65" s="82"/>
    </row>
    <row r="66" spans="1:4" x14ac:dyDescent="0.15">
      <c r="A66" s="228"/>
      <c r="B66" s="229"/>
      <c r="C66" s="82"/>
      <c r="D66" s="82"/>
    </row>
    <row r="67" spans="1:4" ht="15" x14ac:dyDescent="0.15">
      <c r="A67" s="228"/>
      <c r="B67" s="178"/>
      <c r="C67" s="82"/>
      <c r="D67" s="82"/>
    </row>
    <row r="68" spans="1:4" ht="15" x14ac:dyDescent="0.15">
      <c r="A68" s="228"/>
      <c r="B68" s="178"/>
      <c r="C68" s="82"/>
      <c r="D68" s="82"/>
    </row>
    <row r="69" spans="1:4" ht="15" x14ac:dyDescent="0.15">
      <c r="A69" s="109"/>
      <c r="B69" s="111"/>
      <c r="C69" s="82"/>
      <c r="D69" s="82"/>
    </row>
    <row r="70" spans="1:4" ht="15" x14ac:dyDescent="0.15">
      <c r="A70" s="110"/>
      <c r="B70" s="111"/>
      <c r="C70" s="82"/>
      <c r="D70" s="82"/>
    </row>
    <row r="71" spans="1:4" ht="15" x14ac:dyDescent="0.15">
      <c r="A71" s="110"/>
      <c r="B71" s="111"/>
      <c r="C71" s="82"/>
      <c r="D71" s="82"/>
    </row>
    <row r="72" spans="1:4" ht="15" x14ac:dyDescent="0.15">
      <c r="A72" s="110"/>
      <c r="B72" s="111"/>
      <c r="C72" s="82"/>
      <c r="D72" s="82"/>
    </row>
    <row r="73" spans="1:4" ht="15" x14ac:dyDescent="0.15">
      <c r="A73" s="110"/>
      <c r="B73" s="111"/>
      <c r="C73" s="82"/>
      <c r="D73" s="82"/>
    </row>
    <row r="74" spans="1:4" ht="15" x14ac:dyDescent="0.15">
      <c r="A74" s="110"/>
      <c r="B74" s="111"/>
      <c r="C74" s="82"/>
      <c r="D74" s="82"/>
    </row>
    <row r="75" spans="1:4" ht="15" x14ac:dyDescent="0.15">
      <c r="A75" s="110"/>
      <c r="B75" s="111"/>
      <c r="C75" s="82"/>
      <c r="D75" s="82"/>
    </row>
    <row r="76" spans="1:4" ht="15" x14ac:dyDescent="0.15">
      <c r="A76" s="110"/>
      <c r="B76" s="111"/>
      <c r="C76" s="82"/>
      <c r="D76" s="82"/>
    </row>
    <row r="77" spans="1:4" ht="15" x14ac:dyDescent="0.15">
      <c r="A77" s="110"/>
      <c r="B77" s="111"/>
      <c r="C77" s="82"/>
      <c r="D77" s="82"/>
    </row>
    <row r="78" spans="1:4" ht="15" x14ac:dyDescent="0.15">
      <c r="A78" s="110"/>
      <c r="B78" s="111"/>
      <c r="C78" s="82"/>
      <c r="D78" s="82"/>
    </row>
    <row r="79" spans="1:4" ht="15" x14ac:dyDescent="0.15">
      <c r="A79" s="110"/>
      <c r="B79" s="111"/>
      <c r="C79" s="82"/>
      <c r="D79" s="82"/>
    </row>
    <row r="80" spans="1:4" ht="15" x14ac:dyDescent="0.15">
      <c r="A80" s="110"/>
      <c r="B80" s="111"/>
      <c r="C80" s="82"/>
      <c r="D80" s="82"/>
    </row>
    <row r="81" spans="1:4" ht="15" x14ac:dyDescent="0.15">
      <c r="A81" s="110"/>
      <c r="B81" s="111"/>
      <c r="C81" s="82"/>
      <c r="D81" s="82"/>
    </row>
    <row r="82" spans="1:4" ht="15" x14ac:dyDescent="0.15">
      <c r="A82" s="110"/>
      <c r="B82" s="111"/>
      <c r="C82" s="82"/>
      <c r="D82" s="82"/>
    </row>
    <row r="83" spans="1:4" ht="15" x14ac:dyDescent="0.15">
      <c r="A83" s="110"/>
      <c r="B83" s="111"/>
      <c r="C83" s="82"/>
      <c r="D83" s="82"/>
    </row>
    <row r="84" spans="1:4" ht="15" x14ac:dyDescent="0.15">
      <c r="A84" s="110"/>
      <c r="B84" s="111"/>
      <c r="C84" s="82"/>
      <c r="D84" s="82"/>
    </row>
    <row r="85" spans="1:4" ht="15" x14ac:dyDescent="0.15">
      <c r="A85" s="110"/>
      <c r="B85" s="111"/>
      <c r="C85" s="82"/>
      <c r="D85" s="82"/>
    </row>
    <row r="86" spans="1:4" ht="15" x14ac:dyDescent="0.15">
      <c r="A86" s="110"/>
      <c r="B86" s="111"/>
      <c r="C86" s="82"/>
      <c r="D86" s="82"/>
    </row>
    <row r="87" spans="1:4" ht="15" x14ac:dyDescent="0.15">
      <c r="A87" s="110"/>
      <c r="B87" s="111"/>
      <c r="C87" s="82"/>
      <c r="D87" s="82"/>
    </row>
    <row r="88" spans="1:4" ht="15" x14ac:dyDescent="0.15">
      <c r="A88" s="110"/>
      <c r="B88" s="111"/>
      <c r="C88" s="82"/>
      <c r="D88" s="82"/>
    </row>
    <row r="89" spans="1:4" ht="15" x14ac:dyDescent="0.15">
      <c r="A89" s="110"/>
      <c r="B89" s="111"/>
      <c r="C89" s="82"/>
      <c r="D89" s="82"/>
    </row>
    <row r="90" spans="1:4" ht="15" x14ac:dyDescent="0.15">
      <c r="A90" s="110"/>
      <c r="B90" s="111"/>
      <c r="C90" s="82"/>
      <c r="D90" s="82"/>
    </row>
    <row r="91" spans="1:4" ht="15" x14ac:dyDescent="0.15">
      <c r="A91" s="110"/>
      <c r="B91" s="111"/>
      <c r="C91" s="82"/>
      <c r="D91" s="82"/>
    </row>
    <row r="92" spans="1:4" ht="15" x14ac:dyDescent="0.15">
      <c r="A92" s="110"/>
      <c r="B92" s="111"/>
      <c r="C92" s="82"/>
      <c r="D92" s="82"/>
    </row>
    <row r="93" spans="1:4" ht="15" x14ac:dyDescent="0.15">
      <c r="A93" s="110"/>
      <c r="B93" s="111"/>
      <c r="C93" s="82"/>
      <c r="D93" s="82"/>
    </row>
    <row r="94" spans="1:4" ht="15" x14ac:dyDescent="0.15">
      <c r="A94" s="110"/>
      <c r="B94" s="111"/>
      <c r="C94" s="82"/>
      <c r="D94" s="82"/>
    </row>
    <row r="95" spans="1:4" ht="15" x14ac:dyDescent="0.15">
      <c r="A95" s="110"/>
      <c r="B95" s="111"/>
      <c r="C95" s="82"/>
      <c r="D95" s="82"/>
    </row>
    <row r="96" spans="1:4" ht="15" x14ac:dyDescent="0.15">
      <c r="A96" s="110"/>
      <c r="B96" s="111"/>
      <c r="C96" s="82"/>
      <c r="D96" s="82"/>
    </row>
    <row r="97" spans="1:4" ht="15" x14ac:dyDescent="0.15">
      <c r="A97" s="110"/>
      <c r="B97" s="111"/>
      <c r="C97" s="82"/>
      <c r="D97" s="82"/>
    </row>
    <row r="98" spans="1:4" ht="15" x14ac:dyDescent="0.15">
      <c r="A98" s="110"/>
      <c r="B98" s="111"/>
      <c r="C98" s="82"/>
      <c r="D98" s="82"/>
    </row>
    <row r="99" spans="1:4" ht="15" x14ac:dyDescent="0.15">
      <c r="A99" s="110"/>
      <c r="B99" s="111"/>
      <c r="C99" s="82"/>
      <c r="D99" s="82"/>
    </row>
    <row r="100" spans="1:4" ht="15" x14ac:dyDescent="0.15">
      <c r="A100" s="110"/>
      <c r="B100" s="111"/>
      <c r="C100" s="82"/>
      <c r="D100" s="82"/>
    </row>
    <row r="101" spans="1:4" ht="15" x14ac:dyDescent="0.15">
      <c r="A101" s="110"/>
      <c r="B101" s="111"/>
      <c r="C101" s="82"/>
      <c r="D101" s="82"/>
    </row>
    <row r="102" spans="1:4" ht="15" x14ac:dyDescent="0.15">
      <c r="A102" s="110"/>
      <c r="B102" s="111"/>
      <c r="C102" s="82"/>
      <c r="D102" s="82"/>
    </row>
    <row r="103" spans="1:4" ht="15" x14ac:dyDescent="0.15">
      <c r="A103" s="110"/>
      <c r="B103" s="111"/>
      <c r="C103" s="82"/>
      <c r="D103" s="82"/>
    </row>
    <row r="104" spans="1:4" ht="15" x14ac:dyDescent="0.15">
      <c r="A104" s="110"/>
      <c r="B104" s="111"/>
      <c r="C104" s="82"/>
      <c r="D104" s="82"/>
    </row>
    <row r="105" spans="1:4" ht="15" x14ac:dyDescent="0.15">
      <c r="A105" s="110"/>
      <c r="B105" s="111"/>
      <c r="C105" s="82"/>
      <c r="D105" s="82"/>
    </row>
    <row r="106" spans="1:4" ht="15" x14ac:dyDescent="0.15">
      <c r="A106" s="110"/>
      <c r="B106" s="111"/>
      <c r="C106" s="82"/>
      <c r="D106" s="82"/>
    </row>
    <row r="107" spans="1:4" ht="15" x14ac:dyDescent="0.15">
      <c r="A107" s="110"/>
      <c r="B107" s="111"/>
      <c r="C107" s="82"/>
      <c r="D107" s="82"/>
    </row>
    <row r="108" spans="1:4" ht="15" x14ac:dyDescent="0.15">
      <c r="A108" s="110"/>
      <c r="B108" s="111"/>
      <c r="C108" s="82"/>
      <c r="D108" s="82"/>
    </row>
    <row r="109" spans="1:4" ht="15" x14ac:dyDescent="0.15">
      <c r="A109" s="110"/>
      <c r="B109" s="111"/>
      <c r="C109" s="82"/>
      <c r="D109" s="82"/>
    </row>
    <row r="110" spans="1:4" ht="15" x14ac:dyDescent="0.15">
      <c r="A110" s="110"/>
      <c r="B110" s="111"/>
      <c r="C110" s="82"/>
      <c r="D110" s="82"/>
    </row>
    <row r="111" spans="1:4" x14ac:dyDescent="0.15">
      <c r="A111" s="82"/>
      <c r="B111" s="82"/>
      <c r="C111" s="82"/>
      <c r="D111" s="82"/>
    </row>
    <row r="112" spans="1:4" x14ac:dyDescent="0.15">
      <c r="A112" s="82"/>
      <c r="B112" s="82"/>
      <c r="C112" s="82"/>
      <c r="D112" s="82"/>
    </row>
    <row r="113" spans="1:4" x14ac:dyDescent="0.15">
      <c r="A113" s="82"/>
      <c r="B113" s="82"/>
      <c r="C113" s="82"/>
      <c r="D113" s="82"/>
    </row>
    <row r="114" spans="1:4" x14ac:dyDescent="0.15">
      <c r="A114" s="82"/>
      <c r="B114" s="82"/>
      <c r="C114" s="82"/>
      <c r="D114" s="82"/>
    </row>
    <row r="115" spans="1:4" x14ac:dyDescent="0.15">
      <c r="A115" s="82"/>
      <c r="B115" s="82"/>
      <c r="C115" s="82"/>
      <c r="D115" s="82"/>
    </row>
    <row r="116" spans="1:4" x14ac:dyDescent="0.15">
      <c r="A116" s="82"/>
      <c r="B116" s="82"/>
      <c r="C116" s="82"/>
      <c r="D116" s="82"/>
    </row>
  </sheetData>
  <mergeCells count="6">
    <mergeCell ref="A12:A13"/>
    <mergeCell ref="B12:B13"/>
    <mergeCell ref="D12:E12"/>
    <mergeCell ref="H12:H13"/>
    <mergeCell ref="A65:A68"/>
    <mergeCell ref="B65:B66"/>
  </mergeCells>
  <phoneticPr fontId="3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1"/>
  <sheetViews>
    <sheetView topLeftCell="L1" zoomScale="55" zoomScaleNormal="55" workbookViewId="0">
      <selection activeCell="AJ36" sqref="AJ36"/>
    </sheetView>
  </sheetViews>
  <sheetFormatPr defaultRowHeight="13.5" x14ac:dyDescent="0.15"/>
  <sheetData>
    <row r="1" spans="1:41" x14ac:dyDescent="0.15">
      <c r="A1" t="s">
        <v>9</v>
      </c>
      <c r="B1">
        <v>1</v>
      </c>
      <c r="C1" t="s">
        <v>10</v>
      </c>
      <c r="D1" t="s">
        <v>11</v>
      </c>
      <c r="E1" t="s">
        <v>12</v>
      </c>
      <c r="F1" t="s">
        <v>13</v>
      </c>
      <c r="G1" t="s">
        <v>141</v>
      </c>
      <c r="H1" t="s">
        <v>142</v>
      </c>
      <c r="I1" t="s">
        <v>14</v>
      </c>
      <c r="J1" t="s">
        <v>143</v>
      </c>
    </row>
    <row r="2" spans="1:41" x14ac:dyDescent="0.15">
      <c r="A2" t="s">
        <v>144</v>
      </c>
    </row>
    <row r="3" spans="1:41" x14ac:dyDescent="0.15">
      <c r="B3">
        <v>1</v>
      </c>
      <c r="C3">
        <v>2</v>
      </c>
      <c r="D3">
        <v>3</v>
      </c>
      <c r="E3">
        <v>4</v>
      </c>
      <c r="F3">
        <v>5</v>
      </c>
      <c r="G3">
        <v>6</v>
      </c>
      <c r="H3">
        <v>7</v>
      </c>
      <c r="I3">
        <v>8</v>
      </c>
      <c r="J3">
        <v>9</v>
      </c>
      <c r="K3">
        <v>10</v>
      </c>
      <c r="L3">
        <v>11</v>
      </c>
      <c r="M3">
        <v>12</v>
      </c>
      <c r="N3">
        <v>13</v>
      </c>
      <c r="O3">
        <v>14</v>
      </c>
      <c r="P3">
        <v>15</v>
      </c>
      <c r="Q3">
        <v>16</v>
      </c>
      <c r="T3">
        <v>1</v>
      </c>
      <c r="U3">
        <v>2</v>
      </c>
      <c r="V3">
        <v>3</v>
      </c>
      <c r="W3">
        <v>4</v>
      </c>
      <c r="X3">
        <v>5</v>
      </c>
      <c r="Y3">
        <v>6</v>
      </c>
      <c r="Z3">
        <v>7</v>
      </c>
      <c r="AA3">
        <v>8</v>
      </c>
      <c r="AB3">
        <v>9</v>
      </c>
      <c r="AC3">
        <v>10</v>
      </c>
      <c r="AD3">
        <v>11</v>
      </c>
      <c r="AE3">
        <v>12</v>
      </c>
      <c r="AF3">
        <v>13</v>
      </c>
      <c r="AG3">
        <v>14</v>
      </c>
      <c r="AH3">
        <v>15</v>
      </c>
      <c r="AI3">
        <v>16</v>
      </c>
    </row>
    <row r="4" spans="1:41" x14ac:dyDescent="0.15">
      <c r="A4" t="s">
        <v>145</v>
      </c>
      <c r="AO4">
        <v>0.49</v>
      </c>
    </row>
    <row r="5" spans="1:41" x14ac:dyDescent="0.15">
      <c r="B5">
        <v>1970</v>
      </c>
      <c r="C5">
        <v>0.19</v>
      </c>
      <c r="D5">
        <v>0.82699999999999996</v>
      </c>
      <c r="E5">
        <v>0.90800000000000003</v>
      </c>
      <c r="F5">
        <v>0.51700000000000002</v>
      </c>
      <c r="G5">
        <v>0.189</v>
      </c>
      <c r="H5">
        <v>3.4000000000000002E-2</v>
      </c>
      <c r="I5">
        <v>1.2999999999999999E-2</v>
      </c>
      <c r="J5">
        <v>4.0000000000000001E-3</v>
      </c>
      <c r="K5">
        <v>1E-3</v>
      </c>
      <c r="L5">
        <v>6.0000000000000001E-3</v>
      </c>
      <c r="M5">
        <v>1.7999999999999999E-2</v>
      </c>
      <c r="N5">
        <v>1.4999999999999999E-2</v>
      </c>
      <c r="O5">
        <v>2.3E-2</v>
      </c>
      <c r="P5">
        <v>3.1E-2</v>
      </c>
      <c r="Q5">
        <v>3.6999999999999998E-2</v>
      </c>
      <c r="R5">
        <v>3.6999999999999998E-2</v>
      </c>
      <c r="T5">
        <f t="shared" ref="T5:T35" si="0">C5/MAX($C5:$R5)</f>
        <v>0.20925110132158589</v>
      </c>
      <c r="U5">
        <f t="shared" ref="U5:AI20" si="1">D5/MAX($C5:$R5)</f>
        <v>0.91079295154185014</v>
      </c>
      <c r="V5">
        <f t="shared" si="1"/>
        <v>1</v>
      </c>
      <c r="W5">
        <f t="shared" si="1"/>
        <v>0.56938325991189431</v>
      </c>
      <c r="X5">
        <f t="shared" si="1"/>
        <v>0.20814977973568283</v>
      </c>
      <c r="Y5">
        <f t="shared" si="1"/>
        <v>3.7444933920704845E-2</v>
      </c>
      <c r="Z5">
        <f t="shared" si="1"/>
        <v>1.4317180616740087E-2</v>
      </c>
      <c r="AA5">
        <f t="shared" si="1"/>
        <v>4.4052863436123343E-3</v>
      </c>
      <c r="AB5">
        <f t="shared" si="1"/>
        <v>1.1013215859030836E-3</v>
      </c>
      <c r="AC5">
        <f t="shared" si="1"/>
        <v>6.6079295154185024E-3</v>
      </c>
      <c r="AD5">
        <f t="shared" si="1"/>
        <v>1.9823788546255505E-2</v>
      </c>
      <c r="AE5">
        <f t="shared" si="1"/>
        <v>1.6519823788546256E-2</v>
      </c>
      <c r="AF5">
        <f t="shared" si="1"/>
        <v>2.5330396475770924E-2</v>
      </c>
      <c r="AG5">
        <f t="shared" si="1"/>
        <v>3.4140969162995596E-2</v>
      </c>
      <c r="AH5">
        <f t="shared" si="1"/>
        <v>4.0748898678414094E-2</v>
      </c>
      <c r="AI5">
        <f t="shared" si="1"/>
        <v>4.0748898678414094E-2</v>
      </c>
      <c r="AO5">
        <v>0.24</v>
      </c>
    </row>
    <row r="6" spans="1:41" x14ac:dyDescent="0.15">
      <c r="B6">
        <v>1971</v>
      </c>
      <c r="C6">
        <v>0.23</v>
      </c>
      <c r="D6">
        <v>0.95799999999999996</v>
      </c>
      <c r="E6">
        <v>0.77400000000000002</v>
      </c>
      <c r="F6">
        <v>0.96199999999999997</v>
      </c>
      <c r="G6">
        <v>2.1000000000000001E-2</v>
      </c>
      <c r="H6">
        <v>3.2000000000000001E-2</v>
      </c>
      <c r="I6">
        <v>3.7999999999999999E-2</v>
      </c>
      <c r="J6">
        <v>5.5E-2</v>
      </c>
      <c r="K6">
        <v>3.4000000000000002E-2</v>
      </c>
      <c r="L6">
        <v>1.7999999999999999E-2</v>
      </c>
      <c r="M6">
        <v>2.3E-2</v>
      </c>
      <c r="N6">
        <v>0.04</v>
      </c>
      <c r="O6">
        <v>4.2999999999999997E-2</v>
      </c>
      <c r="P6">
        <v>4.4999999999999998E-2</v>
      </c>
      <c r="Q6">
        <v>4.9000000000000002E-2</v>
      </c>
      <c r="R6">
        <v>4.9000000000000002E-2</v>
      </c>
      <c r="T6">
        <f t="shared" si="0"/>
        <v>0.2390852390852391</v>
      </c>
      <c r="U6">
        <f t="shared" si="1"/>
        <v>0.99584199584199584</v>
      </c>
      <c r="V6">
        <f t="shared" si="1"/>
        <v>0.80457380457380467</v>
      </c>
      <c r="W6">
        <f t="shared" si="1"/>
        <v>1</v>
      </c>
      <c r="X6">
        <f t="shared" si="1"/>
        <v>2.1829521829521831E-2</v>
      </c>
      <c r="Y6">
        <f t="shared" si="1"/>
        <v>3.3264033264033266E-2</v>
      </c>
      <c r="Z6">
        <f t="shared" si="1"/>
        <v>3.9501039501039503E-2</v>
      </c>
      <c r="AA6">
        <f t="shared" si="1"/>
        <v>5.7172557172557176E-2</v>
      </c>
      <c r="AB6">
        <f t="shared" si="1"/>
        <v>3.5343035343035345E-2</v>
      </c>
      <c r="AC6">
        <f t="shared" si="1"/>
        <v>1.8711018711018709E-2</v>
      </c>
      <c r="AD6">
        <f t="shared" si="1"/>
        <v>2.390852390852391E-2</v>
      </c>
      <c r="AE6">
        <f t="shared" si="1"/>
        <v>4.1580041580041582E-2</v>
      </c>
      <c r="AF6">
        <f t="shared" si="1"/>
        <v>4.4698544698544694E-2</v>
      </c>
      <c r="AG6">
        <f t="shared" si="1"/>
        <v>4.677754677754678E-2</v>
      </c>
      <c r="AH6">
        <f t="shared" si="1"/>
        <v>5.0935550935550938E-2</v>
      </c>
      <c r="AI6">
        <f t="shared" si="1"/>
        <v>5.0935550935550938E-2</v>
      </c>
      <c r="AO6">
        <v>0.24</v>
      </c>
    </row>
    <row r="7" spans="1:41" x14ac:dyDescent="0.15">
      <c r="B7">
        <v>1972</v>
      </c>
      <c r="C7">
        <v>0.191</v>
      </c>
      <c r="D7">
        <v>0.63400000000000001</v>
      </c>
      <c r="E7">
        <v>0.52900000000000003</v>
      </c>
      <c r="F7">
        <v>9.4E-2</v>
      </c>
      <c r="G7">
        <v>0.17499999999999999</v>
      </c>
      <c r="H7">
        <v>6.6000000000000003E-2</v>
      </c>
      <c r="I7">
        <v>4.0000000000000001E-3</v>
      </c>
      <c r="J7">
        <v>1.6E-2</v>
      </c>
      <c r="K7">
        <v>1.7999999999999999E-2</v>
      </c>
      <c r="L7">
        <v>0.01</v>
      </c>
      <c r="M7">
        <v>5.0000000000000001E-3</v>
      </c>
      <c r="N7">
        <v>1.4E-2</v>
      </c>
      <c r="O7">
        <v>4.2999999999999997E-2</v>
      </c>
      <c r="P7">
        <v>5.2999999999999999E-2</v>
      </c>
      <c r="Q7">
        <v>4.5999999999999999E-2</v>
      </c>
      <c r="R7">
        <v>4.5999999999999999E-2</v>
      </c>
      <c r="T7">
        <f t="shared" si="0"/>
        <v>0.30126182965299686</v>
      </c>
      <c r="U7">
        <f t="shared" si="1"/>
        <v>1</v>
      </c>
      <c r="V7">
        <f t="shared" si="1"/>
        <v>0.83438485804416407</v>
      </c>
      <c r="W7">
        <f t="shared" si="1"/>
        <v>0.14826498422712933</v>
      </c>
      <c r="X7">
        <f t="shared" si="1"/>
        <v>0.27602523659305994</v>
      </c>
      <c r="Y7">
        <f t="shared" si="1"/>
        <v>0.10410094637223975</v>
      </c>
      <c r="Z7">
        <f t="shared" si="1"/>
        <v>6.3091482649842269E-3</v>
      </c>
      <c r="AA7">
        <f t="shared" si="1"/>
        <v>2.5236593059936908E-2</v>
      </c>
      <c r="AB7">
        <f t="shared" si="1"/>
        <v>2.8391167192429019E-2</v>
      </c>
      <c r="AC7">
        <f t="shared" si="1"/>
        <v>1.5772870662460567E-2</v>
      </c>
      <c r="AD7">
        <f t="shared" si="1"/>
        <v>7.8864353312302835E-3</v>
      </c>
      <c r="AE7">
        <f t="shared" si="1"/>
        <v>2.2082018927444796E-2</v>
      </c>
      <c r="AF7">
        <f t="shared" si="1"/>
        <v>6.7823343848580436E-2</v>
      </c>
      <c r="AG7">
        <f t="shared" si="1"/>
        <v>8.3596214511041003E-2</v>
      </c>
      <c r="AH7">
        <f t="shared" si="1"/>
        <v>7.2555205047318605E-2</v>
      </c>
      <c r="AI7">
        <f t="shared" si="1"/>
        <v>7.2555205047318605E-2</v>
      </c>
      <c r="AO7">
        <v>0.24</v>
      </c>
    </row>
    <row r="8" spans="1:41" x14ac:dyDescent="0.15">
      <c r="B8">
        <v>1973</v>
      </c>
      <c r="C8">
        <v>3.6999999999999998E-2</v>
      </c>
      <c r="D8">
        <v>0.498</v>
      </c>
      <c r="E8">
        <v>0.373</v>
      </c>
      <c r="F8">
        <v>0.152</v>
      </c>
      <c r="G8">
        <v>0.107</v>
      </c>
      <c r="H8">
        <v>0.14599999999999999</v>
      </c>
      <c r="I8">
        <v>2.5000000000000001E-2</v>
      </c>
      <c r="J8">
        <v>3.3000000000000002E-2</v>
      </c>
      <c r="K8">
        <v>0.05</v>
      </c>
      <c r="L8">
        <v>3.9E-2</v>
      </c>
      <c r="M8">
        <v>0.01</v>
      </c>
      <c r="N8">
        <v>1.6E-2</v>
      </c>
      <c r="O8">
        <v>2.5000000000000001E-2</v>
      </c>
      <c r="P8">
        <v>0.05</v>
      </c>
      <c r="Q8">
        <v>3.5000000000000003E-2</v>
      </c>
      <c r="R8">
        <v>3.5000000000000003E-2</v>
      </c>
      <c r="T8">
        <f t="shared" si="0"/>
        <v>7.4297188755020074E-2</v>
      </c>
      <c r="U8">
        <f t="shared" si="1"/>
        <v>1</v>
      </c>
      <c r="V8">
        <f t="shared" si="1"/>
        <v>0.74899598393574296</v>
      </c>
      <c r="W8">
        <f t="shared" si="1"/>
        <v>0.30522088353413657</v>
      </c>
      <c r="X8">
        <f t="shared" si="1"/>
        <v>0.21485943775100402</v>
      </c>
      <c r="Y8">
        <f t="shared" si="1"/>
        <v>0.29317269076305219</v>
      </c>
      <c r="Z8">
        <f t="shared" si="1"/>
        <v>5.0200803212851405E-2</v>
      </c>
      <c r="AA8">
        <f t="shared" si="1"/>
        <v>6.6265060240963861E-2</v>
      </c>
      <c r="AB8">
        <f t="shared" si="1"/>
        <v>0.10040160642570281</v>
      </c>
      <c r="AC8">
        <f t="shared" si="1"/>
        <v>7.8313253012048195E-2</v>
      </c>
      <c r="AD8">
        <f t="shared" si="1"/>
        <v>2.0080321285140562E-2</v>
      </c>
      <c r="AE8">
        <f t="shared" si="1"/>
        <v>3.2128514056224904E-2</v>
      </c>
      <c r="AF8">
        <f t="shared" si="1"/>
        <v>5.0200803212851405E-2</v>
      </c>
      <c r="AG8">
        <f t="shared" si="1"/>
        <v>0.10040160642570281</v>
      </c>
      <c r="AH8">
        <f t="shared" si="1"/>
        <v>7.0281124497991981E-2</v>
      </c>
      <c r="AI8">
        <f t="shared" si="1"/>
        <v>7.0281124497991981E-2</v>
      </c>
      <c r="AO8">
        <v>0.24</v>
      </c>
    </row>
    <row r="9" spans="1:41" x14ac:dyDescent="0.15">
      <c r="B9">
        <v>1974</v>
      </c>
      <c r="C9">
        <v>0.13700000000000001</v>
      </c>
      <c r="D9">
        <v>0.185</v>
      </c>
      <c r="E9">
        <v>0.23100000000000001</v>
      </c>
      <c r="F9">
        <v>0.10299999999999999</v>
      </c>
      <c r="G9">
        <v>0.1</v>
      </c>
      <c r="H9">
        <v>8.6999999999999994E-2</v>
      </c>
      <c r="I9">
        <v>4.9000000000000002E-2</v>
      </c>
      <c r="J9">
        <v>5.8000000000000003E-2</v>
      </c>
      <c r="K9">
        <v>3.5999999999999997E-2</v>
      </c>
      <c r="L9">
        <v>2.9000000000000001E-2</v>
      </c>
      <c r="M9">
        <v>4.9000000000000002E-2</v>
      </c>
      <c r="N9">
        <v>2.4E-2</v>
      </c>
      <c r="O9">
        <v>2.3E-2</v>
      </c>
      <c r="P9">
        <v>9.8000000000000004E-2</v>
      </c>
      <c r="Q9">
        <v>0.128</v>
      </c>
      <c r="R9">
        <v>0.128</v>
      </c>
      <c r="T9">
        <f t="shared" si="0"/>
        <v>0.59307359307359309</v>
      </c>
      <c r="U9">
        <f t="shared" si="1"/>
        <v>0.80086580086580084</v>
      </c>
      <c r="V9">
        <f t="shared" si="1"/>
        <v>1</v>
      </c>
      <c r="W9">
        <f t="shared" si="1"/>
        <v>0.44588744588744583</v>
      </c>
      <c r="X9">
        <f t="shared" si="1"/>
        <v>0.4329004329004329</v>
      </c>
      <c r="Y9">
        <f t="shared" si="1"/>
        <v>0.37662337662337658</v>
      </c>
      <c r="Z9">
        <f t="shared" si="1"/>
        <v>0.21212121212121213</v>
      </c>
      <c r="AA9">
        <f t="shared" si="1"/>
        <v>0.25108225108225107</v>
      </c>
      <c r="AB9">
        <f t="shared" si="1"/>
        <v>0.15584415584415581</v>
      </c>
      <c r="AC9">
        <f t="shared" si="1"/>
        <v>0.12554112554112554</v>
      </c>
      <c r="AD9">
        <f t="shared" si="1"/>
        <v>0.21212121212121213</v>
      </c>
      <c r="AE9">
        <f t="shared" si="1"/>
        <v>0.10389610389610389</v>
      </c>
      <c r="AF9">
        <f t="shared" si="1"/>
        <v>9.9567099567099554E-2</v>
      </c>
      <c r="AG9">
        <f t="shared" si="1"/>
        <v>0.42424242424242425</v>
      </c>
      <c r="AH9">
        <f t="shared" si="1"/>
        <v>0.55411255411255411</v>
      </c>
      <c r="AI9">
        <f t="shared" si="1"/>
        <v>0.55411255411255411</v>
      </c>
      <c r="AO9">
        <v>0.2</v>
      </c>
    </row>
    <row r="10" spans="1:41" x14ac:dyDescent="0.15">
      <c r="B10">
        <v>1975</v>
      </c>
      <c r="C10">
        <v>0.33</v>
      </c>
      <c r="D10">
        <v>0.58899999999999997</v>
      </c>
      <c r="E10">
        <v>0.08</v>
      </c>
      <c r="F10">
        <v>0.214</v>
      </c>
      <c r="G10">
        <v>0.02</v>
      </c>
      <c r="H10">
        <v>2.9000000000000001E-2</v>
      </c>
      <c r="I10">
        <v>2.1000000000000001E-2</v>
      </c>
      <c r="J10">
        <v>2.3E-2</v>
      </c>
      <c r="K10">
        <v>0.04</v>
      </c>
      <c r="L10">
        <v>5.7000000000000002E-2</v>
      </c>
      <c r="M10">
        <v>7.3999999999999996E-2</v>
      </c>
      <c r="N10">
        <v>7.2999999999999995E-2</v>
      </c>
      <c r="O10">
        <v>0.06</v>
      </c>
      <c r="P10">
        <v>5.3999999999999999E-2</v>
      </c>
      <c r="Q10">
        <v>8.5000000000000006E-2</v>
      </c>
      <c r="R10">
        <v>8.5000000000000006E-2</v>
      </c>
      <c r="T10">
        <f t="shared" si="0"/>
        <v>0.56027164685908326</v>
      </c>
      <c r="U10">
        <f t="shared" si="1"/>
        <v>1</v>
      </c>
      <c r="V10">
        <f t="shared" si="1"/>
        <v>0.13582342954159593</v>
      </c>
      <c r="W10">
        <f t="shared" si="1"/>
        <v>0.36332767402376909</v>
      </c>
      <c r="X10">
        <f t="shared" si="1"/>
        <v>3.3955857385398983E-2</v>
      </c>
      <c r="Y10">
        <f t="shared" si="1"/>
        <v>4.923599320882853E-2</v>
      </c>
      <c r="Z10">
        <f t="shared" si="1"/>
        <v>3.5653650254668934E-2</v>
      </c>
      <c r="AA10">
        <f t="shared" si="1"/>
        <v>3.9049235993208829E-2</v>
      </c>
      <c r="AB10">
        <f t="shared" si="1"/>
        <v>6.7911714770797965E-2</v>
      </c>
      <c r="AC10">
        <f t="shared" si="1"/>
        <v>9.6774193548387108E-2</v>
      </c>
      <c r="AD10">
        <f t="shared" si="1"/>
        <v>0.12563667232597622</v>
      </c>
      <c r="AE10">
        <f t="shared" si="1"/>
        <v>0.12393887945670629</v>
      </c>
      <c r="AF10">
        <f t="shared" si="1"/>
        <v>0.10186757215619695</v>
      </c>
      <c r="AG10">
        <f t="shared" si="1"/>
        <v>9.1680814940577254E-2</v>
      </c>
      <c r="AH10">
        <f t="shared" si="1"/>
        <v>0.1443123938879457</v>
      </c>
      <c r="AI10">
        <f t="shared" si="1"/>
        <v>0.1443123938879457</v>
      </c>
      <c r="AO10">
        <v>0.17499999999999999</v>
      </c>
    </row>
    <row r="11" spans="1:41" x14ac:dyDescent="0.15">
      <c r="B11">
        <v>1976</v>
      </c>
      <c r="C11">
        <v>4.4999999999999998E-2</v>
      </c>
      <c r="D11">
        <v>0.22600000000000001</v>
      </c>
      <c r="E11">
        <v>0.59599999999999997</v>
      </c>
      <c r="F11">
        <v>3.7999999999999999E-2</v>
      </c>
      <c r="G11">
        <v>5.8999999999999997E-2</v>
      </c>
      <c r="H11">
        <v>2.8000000000000001E-2</v>
      </c>
      <c r="I11">
        <v>0.01</v>
      </c>
      <c r="J11">
        <v>0.01</v>
      </c>
      <c r="K11">
        <v>7.6999999999999999E-2</v>
      </c>
      <c r="L11">
        <v>7.8E-2</v>
      </c>
      <c r="M11">
        <v>4.2999999999999997E-2</v>
      </c>
      <c r="N11">
        <v>5.8999999999999997E-2</v>
      </c>
      <c r="O11">
        <v>0.16</v>
      </c>
      <c r="P11">
        <v>0.154</v>
      </c>
      <c r="Q11">
        <v>0.122</v>
      </c>
      <c r="R11">
        <v>0.122</v>
      </c>
      <c r="T11">
        <f t="shared" si="0"/>
        <v>7.5503355704697989E-2</v>
      </c>
      <c r="U11">
        <f t="shared" si="1"/>
        <v>0.37919463087248323</v>
      </c>
      <c r="V11">
        <f t="shared" si="1"/>
        <v>1</v>
      </c>
      <c r="W11">
        <f t="shared" si="1"/>
        <v>6.3758389261744972E-2</v>
      </c>
      <c r="X11">
        <f t="shared" si="1"/>
        <v>9.8993288590604023E-2</v>
      </c>
      <c r="Y11">
        <f t="shared" si="1"/>
        <v>4.6979865771812082E-2</v>
      </c>
      <c r="Z11">
        <f t="shared" si="1"/>
        <v>1.6778523489932886E-2</v>
      </c>
      <c r="AA11">
        <f t="shared" si="1"/>
        <v>1.6778523489932886E-2</v>
      </c>
      <c r="AB11">
        <f t="shared" si="1"/>
        <v>0.12919463087248323</v>
      </c>
      <c r="AC11">
        <f t="shared" si="1"/>
        <v>0.13087248322147652</v>
      </c>
      <c r="AD11">
        <f t="shared" si="1"/>
        <v>7.2147651006711402E-2</v>
      </c>
      <c r="AE11">
        <f t="shared" si="1"/>
        <v>9.8993288590604023E-2</v>
      </c>
      <c r="AF11">
        <f t="shared" si="1"/>
        <v>0.26845637583892618</v>
      </c>
      <c r="AG11">
        <f t="shared" si="1"/>
        <v>0.25838926174496646</v>
      </c>
      <c r="AH11">
        <f t="shared" si="1"/>
        <v>0.20469798657718122</v>
      </c>
      <c r="AI11">
        <f t="shared" si="1"/>
        <v>0.20469798657718122</v>
      </c>
      <c r="AO11">
        <v>0.15</v>
      </c>
    </row>
    <row r="12" spans="1:41" x14ac:dyDescent="0.15">
      <c r="B12">
        <v>1977</v>
      </c>
      <c r="C12">
        <v>1.4E-2</v>
      </c>
      <c r="D12">
        <v>0.23699999999999999</v>
      </c>
      <c r="E12">
        <v>0.14499999999999999</v>
      </c>
      <c r="F12">
        <v>0.46600000000000003</v>
      </c>
      <c r="G12">
        <v>0.14899999999999999</v>
      </c>
      <c r="H12">
        <v>7.0999999999999994E-2</v>
      </c>
      <c r="I12">
        <v>8.3000000000000004E-2</v>
      </c>
      <c r="J12">
        <v>3.1E-2</v>
      </c>
      <c r="K12">
        <v>3.1E-2</v>
      </c>
      <c r="L12">
        <v>8.3000000000000004E-2</v>
      </c>
      <c r="M12">
        <v>0.14000000000000001</v>
      </c>
      <c r="N12">
        <v>0.107</v>
      </c>
      <c r="O12">
        <v>7.1999999999999995E-2</v>
      </c>
      <c r="P12">
        <v>0.13700000000000001</v>
      </c>
      <c r="Q12">
        <v>0.154</v>
      </c>
      <c r="R12">
        <v>0.154</v>
      </c>
      <c r="T12">
        <f t="shared" si="0"/>
        <v>3.0042918454935622E-2</v>
      </c>
      <c r="U12">
        <f t="shared" si="1"/>
        <v>0.50858369098712441</v>
      </c>
      <c r="V12">
        <f t="shared" si="1"/>
        <v>0.31115879828326176</v>
      </c>
      <c r="W12">
        <f t="shared" si="1"/>
        <v>1</v>
      </c>
      <c r="X12">
        <f t="shared" si="1"/>
        <v>0.31974248927038623</v>
      </c>
      <c r="Y12">
        <f t="shared" si="1"/>
        <v>0.1523605150214592</v>
      </c>
      <c r="Z12">
        <f t="shared" si="1"/>
        <v>0.17811158798283261</v>
      </c>
      <c r="AA12">
        <f t="shared" si="1"/>
        <v>6.652360515021459E-2</v>
      </c>
      <c r="AB12">
        <f t="shared" si="1"/>
        <v>6.652360515021459E-2</v>
      </c>
      <c r="AC12">
        <f t="shared" si="1"/>
        <v>0.17811158798283261</v>
      </c>
      <c r="AD12">
        <f t="shared" si="1"/>
        <v>0.30042918454935624</v>
      </c>
      <c r="AE12">
        <f t="shared" si="1"/>
        <v>0.22961373390557938</v>
      </c>
      <c r="AF12">
        <f t="shared" si="1"/>
        <v>0.15450643776824033</v>
      </c>
      <c r="AG12">
        <f t="shared" si="1"/>
        <v>0.29399141630901288</v>
      </c>
      <c r="AH12">
        <f t="shared" si="1"/>
        <v>0.33047210300429181</v>
      </c>
      <c r="AI12">
        <f t="shared" si="1"/>
        <v>0.33047210300429181</v>
      </c>
      <c r="AO12">
        <v>0.125</v>
      </c>
    </row>
    <row r="13" spans="1:41" x14ac:dyDescent="0.15">
      <c r="B13">
        <v>1978</v>
      </c>
      <c r="C13">
        <v>6.5000000000000002E-2</v>
      </c>
      <c r="D13">
        <v>0.124</v>
      </c>
      <c r="E13">
        <v>0.30499999999999999</v>
      </c>
      <c r="F13">
        <v>0.10299999999999999</v>
      </c>
      <c r="G13">
        <v>0.222</v>
      </c>
      <c r="H13">
        <v>0.187</v>
      </c>
      <c r="I13">
        <v>4.4999999999999998E-2</v>
      </c>
      <c r="J13">
        <v>1.7000000000000001E-2</v>
      </c>
      <c r="K13">
        <v>2.7E-2</v>
      </c>
      <c r="L13">
        <v>0.03</v>
      </c>
      <c r="M13">
        <v>3.5000000000000003E-2</v>
      </c>
      <c r="N13">
        <v>6.6000000000000003E-2</v>
      </c>
      <c r="O13">
        <v>7.3999999999999996E-2</v>
      </c>
      <c r="P13">
        <v>6.2E-2</v>
      </c>
      <c r="Q13">
        <v>0.189</v>
      </c>
      <c r="R13">
        <v>0.189</v>
      </c>
      <c r="T13">
        <f t="shared" si="0"/>
        <v>0.21311475409836067</v>
      </c>
      <c r="U13">
        <f t="shared" si="1"/>
        <v>0.40655737704918032</v>
      </c>
      <c r="V13">
        <f t="shared" si="1"/>
        <v>1</v>
      </c>
      <c r="W13">
        <f t="shared" si="1"/>
        <v>0.33770491803278685</v>
      </c>
      <c r="X13">
        <f t="shared" si="1"/>
        <v>0.72786885245901645</v>
      </c>
      <c r="Y13">
        <f t="shared" si="1"/>
        <v>0.61311475409836069</v>
      </c>
      <c r="Z13">
        <f t="shared" si="1"/>
        <v>0.14754098360655737</v>
      </c>
      <c r="AA13">
        <f t="shared" si="1"/>
        <v>5.5737704918032795E-2</v>
      </c>
      <c r="AB13">
        <f t="shared" si="1"/>
        <v>8.8524590163934422E-2</v>
      </c>
      <c r="AC13">
        <f t="shared" si="1"/>
        <v>9.8360655737704916E-2</v>
      </c>
      <c r="AD13">
        <f t="shared" si="1"/>
        <v>0.11475409836065575</v>
      </c>
      <c r="AE13">
        <f t="shared" si="1"/>
        <v>0.21639344262295082</v>
      </c>
      <c r="AF13">
        <f t="shared" si="1"/>
        <v>0.24262295081967211</v>
      </c>
      <c r="AG13">
        <f t="shared" si="1"/>
        <v>0.20327868852459016</v>
      </c>
      <c r="AH13">
        <f t="shared" si="1"/>
        <v>0.61967213114754105</v>
      </c>
      <c r="AI13">
        <f t="shared" si="1"/>
        <v>0.61967213114754105</v>
      </c>
      <c r="AO13">
        <v>0.1</v>
      </c>
    </row>
    <row r="14" spans="1:41" x14ac:dyDescent="0.15">
      <c r="B14">
        <v>1979</v>
      </c>
      <c r="C14">
        <v>3.1E-2</v>
      </c>
      <c r="D14">
        <v>0.158</v>
      </c>
      <c r="E14">
        <v>0.254</v>
      </c>
      <c r="F14">
        <v>0.20499999999999999</v>
      </c>
      <c r="G14">
        <v>0.28499999999999998</v>
      </c>
      <c r="H14">
        <v>6.7000000000000004E-2</v>
      </c>
      <c r="I14">
        <v>9.6000000000000002E-2</v>
      </c>
      <c r="J14">
        <v>7.6999999999999999E-2</v>
      </c>
      <c r="K14">
        <v>2.5000000000000001E-2</v>
      </c>
      <c r="L14">
        <v>2.8000000000000001E-2</v>
      </c>
      <c r="M14">
        <v>5.0999999999999997E-2</v>
      </c>
      <c r="N14">
        <v>9.2999999999999999E-2</v>
      </c>
      <c r="O14">
        <v>0.19</v>
      </c>
      <c r="P14">
        <v>0.20799999999999999</v>
      </c>
      <c r="Q14">
        <v>0.21299999999999999</v>
      </c>
      <c r="R14">
        <v>0.21299999999999999</v>
      </c>
      <c r="T14">
        <f t="shared" si="0"/>
        <v>0.10877192982456141</v>
      </c>
      <c r="U14">
        <f t="shared" si="1"/>
        <v>0.55438596491228076</v>
      </c>
      <c r="V14">
        <f t="shared" si="1"/>
        <v>0.8912280701754387</v>
      </c>
      <c r="W14">
        <f t="shared" si="1"/>
        <v>0.7192982456140351</v>
      </c>
      <c r="X14">
        <f t="shared" si="1"/>
        <v>1</v>
      </c>
      <c r="Y14">
        <f t="shared" si="1"/>
        <v>0.23508771929824565</v>
      </c>
      <c r="Z14">
        <f t="shared" si="1"/>
        <v>0.33684210526315794</v>
      </c>
      <c r="AA14">
        <f t="shared" si="1"/>
        <v>0.27017543859649124</v>
      </c>
      <c r="AB14">
        <f t="shared" si="1"/>
        <v>8.7719298245614044E-2</v>
      </c>
      <c r="AC14">
        <f t="shared" si="1"/>
        <v>9.8245614035087733E-2</v>
      </c>
      <c r="AD14">
        <f t="shared" si="1"/>
        <v>0.17894736842105263</v>
      </c>
      <c r="AE14">
        <f t="shared" si="1"/>
        <v>0.32631578947368423</v>
      </c>
      <c r="AF14">
        <f t="shared" si="1"/>
        <v>0.66666666666666674</v>
      </c>
      <c r="AG14">
        <f t="shared" si="1"/>
        <v>0.72982456140350882</v>
      </c>
      <c r="AH14">
        <f t="shared" si="1"/>
        <v>0.74736842105263157</v>
      </c>
      <c r="AI14">
        <f t="shared" si="1"/>
        <v>0.74736842105263157</v>
      </c>
    </row>
    <row r="15" spans="1:41" x14ac:dyDescent="0.15">
      <c r="B15">
        <v>1980</v>
      </c>
      <c r="C15">
        <v>4.3999999999999997E-2</v>
      </c>
      <c r="D15">
        <v>0.22900000000000001</v>
      </c>
      <c r="E15">
        <v>0.20499999999999999</v>
      </c>
      <c r="F15">
        <v>0.191</v>
      </c>
      <c r="G15">
        <v>0.13500000000000001</v>
      </c>
      <c r="H15">
        <v>6.2E-2</v>
      </c>
      <c r="I15">
        <v>0.104</v>
      </c>
      <c r="J15">
        <v>0.21099999999999999</v>
      </c>
      <c r="K15">
        <v>0.17699999999999999</v>
      </c>
      <c r="L15">
        <v>5.2999999999999999E-2</v>
      </c>
      <c r="M15">
        <v>5.7000000000000002E-2</v>
      </c>
      <c r="N15">
        <v>0.104</v>
      </c>
      <c r="O15">
        <v>0.16500000000000001</v>
      </c>
      <c r="P15">
        <v>0.24099999999999999</v>
      </c>
      <c r="Q15">
        <v>0.29399999999999998</v>
      </c>
      <c r="R15">
        <v>0.29399999999999998</v>
      </c>
      <c r="T15">
        <f t="shared" si="0"/>
        <v>0.14965986394557823</v>
      </c>
      <c r="U15">
        <f t="shared" si="1"/>
        <v>0.77891156462585043</v>
      </c>
      <c r="V15">
        <f t="shared" si="1"/>
        <v>0.69727891156462585</v>
      </c>
      <c r="W15">
        <f t="shared" si="1"/>
        <v>0.64965986394557829</v>
      </c>
      <c r="X15">
        <f t="shared" si="1"/>
        <v>0.45918367346938782</v>
      </c>
      <c r="Y15">
        <f t="shared" si="1"/>
        <v>0.21088435374149661</v>
      </c>
      <c r="Z15">
        <f t="shared" si="1"/>
        <v>0.35374149659863946</v>
      </c>
      <c r="AA15">
        <f t="shared" si="1"/>
        <v>0.71768707482993199</v>
      </c>
      <c r="AB15">
        <f t="shared" si="1"/>
        <v>0.60204081632653061</v>
      </c>
      <c r="AC15">
        <f t="shared" si="1"/>
        <v>0.18027210884353742</v>
      </c>
      <c r="AD15">
        <f t="shared" si="1"/>
        <v>0.19387755102040818</v>
      </c>
      <c r="AE15">
        <f t="shared" si="1"/>
        <v>0.35374149659863946</v>
      </c>
      <c r="AF15">
        <f t="shared" si="1"/>
        <v>0.56122448979591844</v>
      </c>
      <c r="AG15">
        <f t="shared" si="1"/>
        <v>0.81972789115646261</v>
      </c>
      <c r="AH15">
        <f t="shared" si="1"/>
        <v>1</v>
      </c>
      <c r="AI15">
        <f t="shared" si="1"/>
        <v>1</v>
      </c>
    </row>
    <row r="16" spans="1:41" x14ac:dyDescent="0.15">
      <c r="B16">
        <v>1981</v>
      </c>
      <c r="C16">
        <v>8.6999999999999994E-2</v>
      </c>
      <c r="D16">
        <v>0.16900000000000001</v>
      </c>
      <c r="E16">
        <v>0.36199999999999999</v>
      </c>
      <c r="F16">
        <v>0.10299999999999999</v>
      </c>
      <c r="G16">
        <v>0.186</v>
      </c>
      <c r="H16">
        <v>0.15</v>
      </c>
      <c r="I16">
        <v>0.13300000000000001</v>
      </c>
      <c r="J16">
        <v>0.126</v>
      </c>
      <c r="K16">
        <v>0.14099999999999999</v>
      </c>
      <c r="L16">
        <v>0.17399999999999999</v>
      </c>
      <c r="M16">
        <v>9.4E-2</v>
      </c>
      <c r="N16">
        <v>0.13300000000000001</v>
      </c>
      <c r="O16">
        <v>0.19700000000000001</v>
      </c>
      <c r="P16">
        <v>0.28199999999999997</v>
      </c>
      <c r="Q16">
        <v>0.32700000000000001</v>
      </c>
      <c r="R16">
        <v>0.32700000000000001</v>
      </c>
      <c r="T16">
        <f t="shared" si="0"/>
        <v>0.24033149171270718</v>
      </c>
      <c r="U16">
        <f t="shared" si="1"/>
        <v>0.4668508287292818</v>
      </c>
      <c r="V16">
        <f t="shared" si="1"/>
        <v>1</v>
      </c>
      <c r="W16">
        <f t="shared" si="1"/>
        <v>0.28453038674033149</v>
      </c>
      <c r="X16">
        <f t="shared" si="1"/>
        <v>0.51381215469613262</v>
      </c>
      <c r="Y16">
        <f t="shared" si="1"/>
        <v>0.4143646408839779</v>
      </c>
      <c r="Z16">
        <f t="shared" si="1"/>
        <v>0.36740331491712708</v>
      </c>
      <c r="AA16">
        <f t="shared" si="1"/>
        <v>0.34806629834254144</v>
      </c>
      <c r="AB16">
        <f t="shared" si="1"/>
        <v>0.38950276243093918</v>
      </c>
      <c r="AC16">
        <f t="shared" si="1"/>
        <v>0.48066298342541436</v>
      </c>
      <c r="AD16">
        <f t="shared" si="1"/>
        <v>0.25966850828729282</v>
      </c>
      <c r="AE16">
        <f t="shared" si="1"/>
        <v>0.36740331491712708</v>
      </c>
      <c r="AF16">
        <f t="shared" si="1"/>
        <v>0.54419889502762431</v>
      </c>
      <c r="AG16">
        <f t="shared" si="1"/>
        <v>0.77900552486187835</v>
      </c>
      <c r="AH16">
        <f t="shared" si="1"/>
        <v>0.9033149171270719</v>
      </c>
      <c r="AI16">
        <f t="shared" si="1"/>
        <v>0.9033149171270719</v>
      </c>
    </row>
    <row r="17" spans="2:35" x14ac:dyDescent="0.15">
      <c r="B17">
        <v>1982</v>
      </c>
      <c r="C17">
        <v>4.8000000000000001E-2</v>
      </c>
      <c r="D17">
        <v>6.3E-2</v>
      </c>
      <c r="E17">
        <v>3.3000000000000002E-2</v>
      </c>
      <c r="F17">
        <v>1.6E-2</v>
      </c>
      <c r="G17">
        <v>8.0000000000000002E-3</v>
      </c>
      <c r="H17">
        <v>1.9E-2</v>
      </c>
      <c r="I17">
        <v>2.7E-2</v>
      </c>
      <c r="J17">
        <v>2.5000000000000001E-2</v>
      </c>
      <c r="K17">
        <v>2.1000000000000001E-2</v>
      </c>
      <c r="L17">
        <v>3.9E-2</v>
      </c>
      <c r="M17">
        <v>0.06</v>
      </c>
      <c r="N17">
        <v>0.05</v>
      </c>
      <c r="O17">
        <v>7.0999999999999994E-2</v>
      </c>
      <c r="P17">
        <v>7.4999999999999997E-2</v>
      </c>
      <c r="Q17">
        <v>9.4E-2</v>
      </c>
      <c r="R17">
        <v>9.4E-2</v>
      </c>
      <c r="T17">
        <f t="shared" si="0"/>
        <v>0.51063829787234039</v>
      </c>
      <c r="U17">
        <f t="shared" si="1"/>
        <v>0.67021276595744683</v>
      </c>
      <c r="V17">
        <f t="shared" si="1"/>
        <v>0.35106382978723405</v>
      </c>
      <c r="W17">
        <f t="shared" si="1"/>
        <v>0.1702127659574468</v>
      </c>
      <c r="X17">
        <f t="shared" si="1"/>
        <v>8.5106382978723402E-2</v>
      </c>
      <c r="Y17">
        <f t="shared" si="1"/>
        <v>0.20212765957446807</v>
      </c>
      <c r="Z17">
        <f t="shared" si="1"/>
        <v>0.28723404255319146</v>
      </c>
      <c r="AA17">
        <f t="shared" si="1"/>
        <v>0.26595744680851063</v>
      </c>
      <c r="AB17">
        <f t="shared" si="1"/>
        <v>0.22340425531914895</v>
      </c>
      <c r="AC17">
        <f t="shared" si="1"/>
        <v>0.41489361702127658</v>
      </c>
      <c r="AD17">
        <f t="shared" si="1"/>
        <v>0.63829787234042545</v>
      </c>
      <c r="AE17">
        <f t="shared" si="1"/>
        <v>0.53191489361702127</v>
      </c>
      <c r="AF17">
        <f t="shared" si="1"/>
        <v>0.75531914893617014</v>
      </c>
      <c r="AG17">
        <f t="shared" si="1"/>
        <v>0.7978723404255319</v>
      </c>
      <c r="AH17">
        <f t="shared" si="1"/>
        <v>1</v>
      </c>
      <c r="AI17">
        <f t="shared" si="1"/>
        <v>1</v>
      </c>
    </row>
    <row r="18" spans="2:35" x14ac:dyDescent="0.15">
      <c r="B18">
        <v>1983</v>
      </c>
      <c r="C18">
        <v>3.5999999999999997E-2</v>
      </c>
      <c r="D18">
        <v>3.9E-2</v>
      </c>
      <c r="E18">
        <v>6.5000000000000002E-2</v>
      </c>
      <c r="F18">
        <v>0.02</v>
      </c>
      <c r="G18">
        <v>2.1999999999999999E-2</v>
      </c>
      <c r="H18">
        <v>3.4000000000000002E-2</v>
      </c>
      <c r="I18">
        <v>3.5000000000000003E-2</v>
      </c>
      <c r="J18">
        <v>7.2999999999999995E-2</v>
      </c>
      <c r="K18">
        <v>7.2999999999999995E-2</v>
      </c>
      <c r="L18">
        <v>6.6000000000000003E-2</v>
      </c>
      <c r="M18">
        <v>6.5000000000000002E-2</v>
      </c>
      <c r="N18">
        <v>6.5000000000000002E-2</v>
      </c>
      <c r="O18">
        <v>7.5999999999999998E-2</v>
      </c>
      <c r="P18">
        <v>0.13900000000000001</v>
      </c>
      <c r="Q18">
        <v>0.19</v>
      </c>
      <c r="R18">
        <v>0.19</v>
      </c>
      <c r="T18">
        <f t="shared" si="0"/>
        <v>0.18947368421052629</v>
      </c>
      <c r="U18">
        <f t="shared" si="1"/>
        <v>0.20526315789473684</v>
      </c>
      <c r="V18">
        <f t="shared" si="1"/>
        <v>0.34210526315789475</v>
      </c>
      <c r="W18">
        <f t="shared" si="1"/>
        <v>0.10526315789473684</v>
      </c>
      <c r="X18">
        <f t="shared" si="1"/>
        <v>0.11578947368421051</v>
      </c>
      <c r="Y18">
        <f t="shared" si="1"/>
        <v>0.17894736842105263</v>
      </c>
      <c r="Z18">
        <f t="shared" si="1"/>
        <v>0.18421052631578949</v>
      </c>
      <c r="AA18">
        <f t="shared" si="1"/>
        <v>0.38421052631578945</v>
      </c>
      <c r="AB18">
        <f t="shared" si="1"/>
        <v>0.38421052631578945</v>
      </c>
      <c r="AC18">
        <f t="shared" si="1"/>
        <v>0.3473684210526316</v>
      </c>
      <c r="AD18">
        <f t="shared" si="1"/>
        <v>0.34210526315789475</v>
      </c>
      <c r="AE18">
        <f t="shared" si="1"/>
        <v>0.34210526315789475</v>
      </c>
      <c r="AF18">
        <f t="shared" si="1"/>
        <v>0.39999999999999997</v>
      </c>
      <c r="AG18">
        <f t="shared" si="1"/>
        <v>0.73157894736842111</v>
      </c>
      <c r="AH18">
        <f t="shared" si="1"/>
        <v>1</v>
      </c>
      <c r="AI18">
        <f t="shared" si="1"/>
        <v>1</v>
      </c>
    </row>
    <row r="19" spans="2:35" x14ac:dyDescent="0.15">
      <c r="B19">
        <v>1984</v>
      </c>
      <c r="C19">
        <v>1.2999999999999999E-2</v>
      </c>
      <c r="D19">
        <v>9.2999999999999999E-2</v>
      </c>
      <c r="E19">
        <v>3.2000000000000001E-2</v>
      </c>
      <c r="F19">
        <v>3.7999999999999999E-2</v>
      </c>
      <c r="G19">
        <v>6.2E-2</v>
      </c>
      <c r="H19">
        <v>6.8000000000000005E-2</v>
      </c>
      <c r="I19">
        <v>4.3999999999999997E-2</v>
      </c>
      <c r="J19">
        <v>2.5999999999999999E-2</v>
      </c>
      <c r="K19">
        <v>4.2000000000000003E-2</v>
      </c>
      <c r="L19">
        <v>6.0999999999999999E-2</v>
      </c>
      <c r="M19">
        <v>7.4999999999999997E-2</v>
      </c>
      <c r="N19">
        <v>8.7999999999999995E-2</v>
      </c>
      <c r="O19">
        <v>9.4E-2</v>
      </c>
      <c r="P19">
        <v>0.111</v>
      </c>
      <c r="Q19">
        <v>0.14399999999999999</v>
      </c>
      <c r="R19">
        <v>0.14399999999999999</v>
      </c>
      <c r="T19">
        <f t="shared" si="0"/>
        <v>9.0277777777777776E-2</v>
      </c>
      <c r="U19">
        <f t="shared" si="1"/>
        <v>0.64583333333333337</v>
      </c>
      <c r="V19">
        <f t="shared" si="1"/>
        <v>0.22222222222222224</v>
      </c>
      <c r="W19">
        <f t="shared" si="1"/>
        <v>0.2638888888888889</v>
      </c>
      <c r="X19">
        <f t="shared" si="1"/>
        <v>0.43055555555555558</v>
      </c>
      <c r="Y19">
        <f t="shared" si="1"/>
        <v>0.47222222222222227</v>
      </c>
      <c r="Z19">
        <f t="shared" si="1"/>
        <v>0.30555555555555558</v>
      </c>
      <c r="AA19">
        <f t="shared" si="1"/>
        <v>0.18055555555555555</v>
      </c>
      <c r="AB19">
        <f t="shared" si="1"/>
        <v>0.29166666666666669</v>
      </c>
      <c r="AC19">
        <f t="shared" si="1"/>
        <v>0.42361111111111116</v>
      </c>
      <c r="AD19">
        <f t="shared" si="1"/>
        <v>0.52083333333333337</v>
      </c>
      <c r="AE19">
        <f t="shared" si="1"/>
        <v>0.61111111111111116</v>
      </c>
      <c r="AF19">
        <f t="shared" si="1"/>
        <v>0.65277777777777779</v>
      </c>
      <c r="AG19">
        <f t="shared" si="1"/>
        <v>0.77083333333333337</v>
      </c>
      <c r="AH19">
        <f t="shared" si="1"/>
        <v>1</v>
      </c>
      <c r="AI19">
        <f t="shared" si="1"/>
        <v>1</v>
      </c>
    </row>
    <row r="20" spans="2:35" x14ac:dyDescent="0.15">
      <c r="B20">
        <v>1985</v>
      </c>
      <c r="C20">
        <v>8.0000000000000002E-3</v>
      </c>
      <c r="D20">
        <v>7.4999999999999997E-2</v>
      </c>
      <c r="E20">
        <v>0.20799999999999999</v>
      </c>
      <c r="F20">
        <v>4.9000000000000002E-2</v>
      </c>
      <c r="G20">
        <v>0.112</v>
      </c>
      <c r="H20">
        <v>0.154</v>
      </c>
      <c r="I20">
        <v>0.106</v>
      </c>
      <c r="J20">
        <v>4.1000000000000002E-2</v>
      </c>
      <c r="K20">
        <v>3.3000000000000002E-2</v>
      </c>
      <c r="L20">
        <v>4.2000000000000003E-2</v>
      </c>
      <c r="M20">
        <v>5.1999999999999998E-2</v>
      </c>
      <c r="N20">
        <v>8.1000000000000003E-2</v>
      </c>
      <c r="O20">
        <v>0.126</v>
      </c>
      <c r="P20">
        <v>0.14299999999999999</v>
      </c>
      <c r="Q20">
        <v>0.184</v>
      </c>
      <c r="R20">
        <v>0.184</v>
      </c>
      <c r="T20">
        <f t="shared" si="0"/>
        <v>3.8461538461538464E-2</v>
      </c>
      <c r="U20">
        <f t="shared" si="1"/>
        <v>0.36057692307692307</v>
      </c>
      <c r="V20">
        <f t="shared" si="1"/>
        <v>1</v>
      </c>
      <c r="W20">
        <f t="shared" si="1"/>
        <v>0.2355769230769231</v>
      </c>
      <c r="X20">
        <f t="shared" si="1"/>
        <v>0.53846153846153855</v>
      </c>
      <c r="Y20">
        <f t="shared" si="1"/>
        <v>0.74038461538461542</v>
      </c>
      <c r="Z20">
        <f t="shared" si="1"/>
        <v>0.50961538461538458</v>
      </c>
      <c r="AA20">
        <f t="shared" si="1"/>
        <v>0.19711538461538464</v>
      </c>
      <c r="AB20">
        <f t="shared" si="1"/>
        <v>0.15865384615384617</v>
      </c>
      <c r="AC20">
        <f t="shared" si="1"/>
        <v>0.20192307692307696</v>
      </c>
      <c r="AD20">
        <f t="shared" si="1"/>
        <v>0.25</v>
      </c>
      <c r="AE20">
        <f t="shared" si="1"/>
        <v>0.38942307692307693</v>
      </c>
      <c r="AF20">
        <f t="shared" si="1"/>
        <v>0.60576923076923084</v>
      </c>
      <c r="AG20">
        <f t="shared" si="1"/>
        <v>0.6875</v>
      </c>
      <c r="AH20">
        <f t="shared" si="1"/>
        <v>0.88461538461538469</v>
      </c>
      <c r="AI20">
        <f t="shared" si="1"/>
        <v>0.88461538461538469</v>
      </c>
    </row>
    <row r="21" spans="2:35" x14ac:dyDescent="0.15">
      <c r="B21">
        <v>1986</v>
      </c>
      <c r="C21">
        <v>0.01</v>
      </c>
      <c r="D21">
        <v>7.6999999999999999E-2</v>
      </c>
      <c r="E21">
        <v>0.114</v>
      </c>
      <c r="F21">
        <v>6.6000000000000003E-2</v>
      </c>
      <c r="G21">
        <v>0.04</v>
      </c>
      <c r="H21">
        <v>4.5999999999999999E-2</v>
      </c>
      <c r="I21">
        <v>5.8000000000000003E-2</v>
      </c>
      <c r="J21">
        <v>4.3999999999999997E-2</v>
      </c>
      <c r="K21">
        <v>2.9000000000000001E-2</v>
      </c>
      <c r="L21">
        <v>3.1E-2</v>
      </c>
      <c r="M21">
        <v>3.5000000000000003E-2</v>
      </c>
      <c r="N21">
        <v>5.0999999999999997E-2</v>
      </c>
      <c r="O21">
        <v>0.10100000000000001</v>
      </c>
      <c r="P21">
        <v>0.13200000000000001</v>
      </c>
      <c r="Q21">
        <v>0.214</v>
      </c>
      <c r="R21">
        <v>0.214</v>
      </c>
      <c r="T21">
        <f t="shared" si="0"/>
        <v>4.6728971962616828E-2</v>
      </c>
      <c r="U21">
        <f t="shared" ref="U21:U35" si="2">D21/MAX($C21:$R21)</f>
        <v>0.35981308411214952</v>
      </c>
      <c r="V21">
        <f t="shared" ref="V21:V35" si="3">E21/MAX($C21:$R21)</f>
        <v>0.53271028037383183</v>
      </c>
      <c r="W21">
        <f t="shared" ref="W21:W35" si="4">F21/MAX($C21:$R21)</f>
        <v>0.30841121495327106</v>
      </c>
      <c r="X21">
        <f t="shared" ref="X21:X35" si="5">G21/MAX($C21:$R21)</f>
        <v>0.18691588785046731</v>
      </c>
      <c r="Y21">
        <f t="shared" ref="Y21:Y35" si="6">H21/MAX($C21:$R21)</f>
        <v>0.21495327102803738</v>
      </c>
      <c r="Z21">
        <f t="shared" ref="Z21:Z35" si="7">I21/MAX($C21:$R21)</f>
        <v>0.2710280373831776</v>
      </c>
      <c r="AA21">
        <f t="shared" ref="AA21:AA35" si="8">J21/MAX($C21:$R21)</f>
        <v>0.20560747663551401</v>
      </c>
      <c r="AB21">
        <f t="shared" ref="AB21:AB35" si="9">K21/MAX($C21:$R21)</f>
        <v>0.1355140186915888</v>
      </c>
      <c r="AC21">
        <f t="shared" ref="AC21:AC35" si="10">L21/MAX($C21:$R21)</f>
        <v>0.14485981308411214</v>
      </c>
      <c r="AD21">
        <f t="shared" ref="AD21:AD35" si="11">M21/MAX($C21:$R21)</f>
        <v>0.1635514018691589</v>
      </c>
      <c r="AE21">
        <f t="shared" ref="AE21:AE35" si="12">N21/MAX($C21:$R21)</f>
        <v>0.23831775700934579</v>
      </c>
      <c r="AF21">
        <f t="shared" ref="AF21:AF35" si="13">O21/MAX($C21:$R21)</f>
        <v>0.47196261682242996</v>
      </c>
      <c r="AG21">
        <f t="shared" ref="AG21:AG35" si="14">P21/MAX($C21:$R21)</f>
        <v>0.61682242990654212</v>
      </c>
      <c r="AH21">
        <f t="shared" ref="AH21:AH35" si="15">Q21/MAX($C21:$R21)</f>
        <v>1</v>
      </c>
      <c r="AI21">
        <f t="shared" ref="AI21:AI35" si="16">R21/MAX($C21:$R21)</f>
        <v>1</v>
      </c>
    </row>
    <row r="22" spans="2:35" x14ac:dyDescent="0.15">
      <c r="B22">
        <v>1987</v>
      </c>
      <c r="C22">
        <v>2.8000000000000001E-2</v>
      </c>
      <c r="D22">
        <v>0.16500000000000001</v>
      </c>
      <c r="E22">
        <v>0.14699999999999999</v>
      </c>
      <c r="F22">
        <v>0.10199999999999999</v>
      </c>
      <c r="G22">
        <v>0.109</v>
      </c>
      <c r="H22">
        <v>0.129</v>
      </c>
      <c r="I22">
        <v>5.8999999999999997E-2</v>
      </c>
      <c r="J22">
        <v>8.2000000000000003E-2</v>
      </c>
      <c r="K22">
        <v>8.1000000000000003E-2</v>
      </c>
      <c r="L22">
        <v>8.5000000000000006E-2</v>
      </c>
      <c r="M22">
        <v>0.05</v>
      </c>
      <c r="N22">
        <v>5.7000000000000002E-2</v>
      </c>
      <c r="O22">
        <v>7.4999999999999997E-2</v>
      </c>
      <c r="P22">
        <v>0.104</v>
      </c>
      <c r="Q22">
        <v>0.129</v>
      </c>
      <c r="R22">
        <v>0.129</v>
      </c>
      <c r="T22">
        <f t="shared" si="0"/>
        <v>0.16969696969696968</v>
      </c>
      <c r="U22">
        <f t="shared" si="2"/>
        <v>1</v>
      </c>
      <c r="V22">
        <f t="shared" si="3"/>
        <v>0.89090909090909087</v>
      </c>
      <c r="W22">
        <f t="shared" si="4"/>
        <v>0.61818181818181817</v>
      </c>
      <c r="X22">
        <f t="shared" si="5"/>
        <v>0.66060606060606053</v>
      </c>
      <c r="Y22">
        <f t="shared" si="6"/>
        <v>0.78181818181818186</v>
      </c>
      <c r="Z22">
        <f t="shared" si="7"/>
        <v>0.35757575757575755</v>
      </c>
      <c r="AA22">
        <f t="shared" si="8"/>
        <v>0.49696969696969695</v>
      </c>
      <c r="AB22">
        <f t="shared" si="9"/>
        <v>0.49090909090909091</v>
      </c>
      <c r="AC22">
        <f t="shared" si="10"/>
        <v>0.51515151515151514</v>
      </c>
      <c r="AD22">
        <f t="shared" si="11"/>
        <v>0.30303030303030304</v>
      </c>
      <c r="AE22">
        <f t="shared" si="12"/>
        <v>0.34545454545454546</v>
      </c>
      <c r="AF22">
        <f t="shared" si="13"/>
        <v>0.45454545454545453</v>
      </c>
      <c r="AG22">
        <f t="shared" si="14"/>
        <v>0.63030303030303025</v>
      </c>
      <c r="AH22">
        <f t="shared" si="15"/>
        <v>0.78181818181818186</v>
      </c>
      <c r="AI22">
        <f t="shared" si="16"/>
        <v>0.78181818181818186</v>
      </c>
    </row>
    <row r="23" spans="2:35" x14ac:dyDescent="0.15">
      <c r="B23">
        <v>1988</v>
      </c>
      <c r="C23">
        <v>3.9E-2</v>
      </c>
      <c r="D23">
        <v>0.13800000000000001</v>
      </c>
      <c r="E23">
        <v>0.20100000000000001</v>
      </c>
      <c r="F23">
        <v>8.3000000000000004E-2</v>
      </c>
      <c r="G23">
        <v>9.6000000000000002E-2</v>
      </c>
      <c r="H23">
        <v>0.121</v>
      </c>
      <c r="I23">
        <v>0.14199999999999999</v>
      </c>
      <c r="J23">
        <v>9.2999999999999999E-2</v>
      </c>
      <c r="K23">
        <v>8.3000000000000004E-2</v>
      </c>
      <c r="L23">
        <v>9.6000000000000002E-2</v>
      </c>
      <c r="M23">
        <v>9.2999999999999999E-2</v>
      </c>
      <c r="N23">
        <v>7.4999999999999997E-2</v>
      </c>
      <c r="O23">
        <v>9.4E-2</v>
      </c>
      <c r="P23">
        <v>0.112</v>
      </c>
      <c r="Q23">
        <v>0.14499999999999999</v>
      </c>
      <c r="R23">
        <v>0.14499999999999999</v>
      </c>
      <c r="T23">
        <f t="shared" si="0"/>
        <v>0.19402985074626863</v>
      </c>
      <c r="U23">
        <f t="shared" si="2"/>
        <v>0.68656716417910446</v>
      </c>
      <c r="V23">
        <f t="shared" si="3"/>
        <v>1</v>
      </c>
      <c r="W23">
        <f t="shared" si="4"/>
        <v>0.41293532338308458</v>
      </c>
      <c r="X23">
        <f t="shared" si="5"/>
        <v>0.47761194029850745</v>
      </c>
      <c r="Y23">
        <f t="shared" si="6"/>
        <v>0.60199004975124371</v>
      </c>
      <c r="Z23">
        <f t="shared" si="7"/>
        <v>0.70646766169154218</v>
      </c>
      <c r="AA23">
        <f t="shared" si="8"/>
        <v>0.46268656716417905</v>
      </c>
      <c r="AB23">
        <f t="shared" si="9"/>
        <v>0.41293532338308458</v>
      </c>
      <c r="AC23">
        <f t="shared" si="10"/>
        <v>0.47761194029850745</v>
      </c>
      <c r="AD23">
        <f t="shared" si="11"/>
        <v>0.46268656716417905</v>
      </c>
      <c r="AE23">
        <f t="shared" si="12"/>
        <v>0.37313432835820892</v>
      </c>
      <c r="AF23">
        <f t="shared" si="13"/>
        <v>0.46766169154228854</v>
      </c>
      <c r="AG23">
        <f t="shared" si="14"/>
        <v>0.55721393034825872</v>
      </c>
      <c r="AH23">
        <f t="shared" si="15"/>
        <v>0.72139303482587058</v>
      </c>
      <c r="AI23">
        <f t="shared" si="16"/>
        <v>0.72139303482587058</v>
      </c>
    </row>
    <row r="24" spans="2:35" x14ac:dyDescent="0.15">
      <c r="B24">
        <v>1989</v>
      </c>
      <c r="C24">
        <v>7.0000000000000001E-3</v>
      </c>
      <c r="D24">
        <v>0.127</v>
      </c>
      <c r="E24">
        <v>2.9000000000000001E-2</v>
      </c>
      <c r="F24">
        <v>7.4999999999999997E-2</v>
      </c>
      <c r="G24">
        <v>6.8000000000000005E-2</v>
      </c>
      <c r="H24">
        <v>5.1999999999999998E-2</v>
      </c>
      <c r="I24">
        <v>7.4999999999999997E-2</v>
      </c>
      <c r="J24">
        <v>0.129</v>
      </c>
      <c r="K24">
        <v>0.123</v>
      </c>
      <c r="L24">
        <v>0.108</v>
      </c>
      <c r="M24">
        <v>0.11</v>
      </c>
      <c r="N24">
        <v>0.11899999999999999</v>
      </c>
      <c r="O24">
        <v>0.109</v>
      </c>
      <c r="P24">
        <v>0.14299999999999999</v>
      </c>
      <c r="Q24">
        <v>0.16300000000000001</v>
      </c>
      <c r="R24">
        <v>0.16300000000000001</v>
      </c>
      <c r="T24">
        <f t="shared" si="0"/>
        <v>4.2944785276073622E-2</v>
      </c>
      <c r="U24">
        <f t="shared" si="2"/>
        <v>0.77914110429447847</v>
      </c>
      <c r="V24">
        <f t="shared" si="3"/>
        <v>0.17791411042944785</v>
      </c>
      <c r="W24">
        <f t="shared" si="4"/>
        <v>0.46012269938650302</v>
      </c>
      <c r="X24">
        <f t="shared" si="5"/>
        <v>0.41717791411042948</v>
      </c>
      <c r="Y24">
        <f t="shared" si="6"/>
        <v>0.31901840490797545</v>
      </c>
      <c r="Z24">
        <f t="shared" si="7"/>
        <v>0.46012269938650302</v>
      </c>
      <c r="AA24">
        <f t="shared" si="8"/>
        <v>0.79141104294478526</v>
      </c>
      <c r="AB24">
        <f t="shared" si="9"/>
        <v>0.754601226993865</v>
      </c>
      <c r="AC24">
        <f t="shared" si="10"/>
        <v>0.66257668711656437</v>
      </c>
      <c r="AD24">
        <f t="shared" si="11"/>
        <v>0.67484662576687116</v>
      </c>
      <c r="AE24">
        <f t="shared" si="12"/>
        <v>0.73006134969325143</v>
      </c>
      <c r="AF24">
        <f t="shared" si="13"/>
        <v>0.66871165644171782</v>
      </c>
      <c r="AG24">
        <f t="shared" si="14"/>
        <v>0.87730061349693245</v>
      </c>
      <c r="AH24">
        <f t="shared" si="15"/>
        <v>1</v>
      </c>
      <c r="AI24">
        <f t="shared" si="16"/>
        <v>1</v>
      </c>
    </row>
    <row r="25" spans="2:35" x14ac:dyDescent="0.15">
      <c r="B25">
        <v>1990</v>
      </c>
      <c r="C25">
        <v>2.9000000000000001E-2</v>
      </c>
      <c r="D25">
        <v>3.6999999999999998E-2</v>
      </c>
      <c r="E25">
        <v>0.24099999999999999</v>
      </c>
      <c r="F25">
        <v>0.04</v>
      </c>
      <c r="G25">
        <v>6.6000000000000003E-2</v>
      </c>
      <c r="H25">
        <v>7.0999999999999994E-2</v>
      </c>
      <c r="I25">
        <v>4.9000000000000002E-2</v>
      </c>
      <c r="J25">
        <v>7.4999999999999997E-2</v>
      </c>
      <c r="K25">
        <v>0.128</v>
      </c>
      <c r="L25">
        <v>0.154</v>
      </c>
      <c r="M25">
        <v>0.113</v>
      </c>
      <c r="N25">
        <v>0.11600000000000001</v>
      </c>
      <c r="O25">
        <v>0.104</v>
      </c>
      <c r="P25">
        <v>0.10199999999999999</v>
      </c>
      <c r="Q25">
        <v>0.158</v>
      </c>
      <c r="R25">
        <v>0.158</v>
      </c>
      <c r="T25">
        <f t="shared" si="0"/>
        <v>0.1203319502074689</v>
      </c>
      <c r="U25">
        <f t="shared" si="2"/>
        <v>0.15352697095435686</v>
      </c>
      <c r="V25">
        <f t="shared" si="3"/>
        <v>1</v>
      </c>
      <c r="W25">
        <f t="shared" si="4"/>
        <v>0.16597510373443985</v>
      </c>
      <c r="X25">
        <f t="shared" si="5"/>
        <v>0.27385892116182575</v>
      </c>
      <c r="Y25">
        <f t="shared" si="6"/>
        <v>0.29460580912863071</v>
      </c>
      <c r="Z25">
        <f t="shared" si="7"/>
        <v>0.20331950207468882</v>
      </c>
      <c r="AA25">
        <f t="shared" si="8"/>
        <v>0.31120331950207469</v>
      </c>
      <c r="AB25">
        <f t="shared" si="9"/>
        <v>0.53112033195020747</v>
      </c>
      <c r="AC25">
        <f t="shared" si="10"/>
        <v>0.63900414937759342</v>
      </c>
      <c r="AD25">
        <f t="shared" si="11"/>
        <v>0.46887966804979259</v>
      </c>
      <c r="AE25">
        <f t="shared" si="12"/>
        <v>0.48132780082987559</v>
      </c>
      <c r="AF25">
        <f t="shared" si="13"/>
        <v>0.43153526970954359</v>
      </c>
      <c r="AG25">
        <f t="shared" si="14"/>
        <v>0.42323651452282157</v>
      </c>
      <c r="AH25">
        <f t="shared" si="15"/>
        <v>0.65560165975103735</v>
      </c>
      <c r="AI25">
        <f t="shared" si="16"/>
        <v>0.65560165975103735</v>
      </c>
    </row>
    <row r="26" spans="2:35" x14ac:dyDescent="0.15">
      <c r="B26">
        <v>1991</v>
      </c>
      <c r="C26">
        <v>4.8000000000000001E-2</v>
      </c>
      <c r="D26">
        <v>0.17</v>
      </c>
      <c r="E26">
        <v>0.13100000000000001</v>
      </c>
      <c r="F26">
        <v>5.6000000000000001E-2</v>
      </c>
      <c r="G26">
        <v>5.1999999999999998E-2</v>
      </c>
      <c r="H26">
        <v>5.3999999999999999E-2</v>
      </c>
      <c r="I26">
        <v>7.4999999999999997E-2</v>
      </c>
      <c r="J26">
        <v>9.0999999999999998E-2</v>
      </c>
      <c r="K26">
        <v>0.112</v>
      </c>
      <c r="L26">
        <v>0.15</v>
      </c>
      <c r="M26">
        <v>0.14899999999999999</v>
      </c>
      <c r="N26">
        <v>0.151</v>
      </c>
      <c r="O26">
        <v>0.14000000000000001</v>
      </c>
      <c r="P26">
        <v>0.128</v>
      </c>
      <c r="Q26">
        <v>0.13700000000000001</v>
      </c>
      <c r="R26">
        <v>0.13700000000000001</v>
      </c>
      <c r="T26">
        <f t="shared" si="0"/>
        <v>0.28235294117647058</v>
      </c>
      <c r="U26">
        <f t="shared" si="2"/>
        <v>1</v>
      </c>
      <c r="V26">
        <f t="shared" si="3"/>
        <v>0.77058823529411757</v>
      </c>
      <c r="W26">
        <f t="shared" si="4"/>
        <v>0.32941176470588235</v>
      </c>
      <c r="X26">
        <f t="shared" si="5"/>
        <v>0.30588235294117644</v>
      </c>
      <c r="Y26">
        <f t="shared" si="6"/>
        <v>0.31764705882352939</v>
      </c>
      <c r="Z26">
        <f t="shared" si="7"/>
        <v>0.44117647058823523</v>
      </c>
      <c r="AA26">
        <f t="shared" si="8"/>
        <v>0.53529411764705881</v>
      </c>
      <c r="AB26">
        <f t="shared" si="9"/>
        <v>0.6588235294117647</v>
      </c>
      <c r="AC26">
        <f t="shared" si="10"/>
        <v>0.88235294117647045</v>
      </c>
      <c r="AD26">
        <f t="shared" si="11"/>
        <v>0.876470588235294</v>
      </c>
      <c r="AE26">
        <f t="shared" si="12"/>
        <v>0.88823529411764701</v>
      </c>
      <c r="AF26">
        <f t="shared" si="13"/>
        <v>0.82352941176470595</v>
      </c>
      <c r="AG26">
        <f t="shared" si="14"/>
        <v>0.75294117647058822</v>
      </c>
      <c r="AH26">
        <f t="shared" si="15"/>
        <v>0.80588235294117649</v>
      </c>
      <c r="AI26">
        <f t="shared" si="16"/>
        <v>0.80588235294117649</v>
      </c>
    </row>
    <row r="27" spans="2:35" x14ac:dyDescent="0.15">
      <c r="B27">
        <v>1992</v>
      </c>
      <c r="C27">
        <v>8.0000000000000002E-3</v>
      </c>
      <c r="D27">
        <v>8.6999999999999994E-2</v>
      </c>
      <c r="E27">
        <v>0.03</v>
      </c>
      <c r="F27">
        <v>1.7000000000000001E-2</v>
      </c>
      <c r="G27">
        <v>2.5999999999999999E-2</v>
      </c>
      <c r="H27">
        <v>4.2999999999999997E-2</v>
      </c>
      <c r="I27">
        <v>3.7999999999999999E-2</v>
      </c>
      <c r="J27">
        <v>8.4000000000000005E-2</v>
      </c>
      <c r="K27">
        <v>0.11600000000000001</v>
      </c>
      <c r="L27">
        <v>8.5999999999999993E-2</v>
      </c>
      <c r="M27">
        <v>0.127</v>
      </c>
      <c r="N27">
        <v>0.17799999999999999</v>
      </c>
      <c r="O27">
        <v>0.193</v>
      </c>
      <c r="P27">
        <v>0.20100000000000001</v>
      </c>
      <c r="Q27">
        <v>0.13900000000000001</v>
      </c>
      <c r="R27">
        <v>0.13900000000000001</v>
      </c>
      <c r="T27">
        <f t="shared" si="0"/>
        <v>3.9800995024875621E-2</v>
      </c>
      <c r="U27">
        <f t="shared" si="2"/>
        <v>0.43283582089552231</v>
      </c>
      <c r="V27">
        <f t="shared" si="3"/>
        <v>0.14925373134328357</v>
      </c>
      <c r="W27">
        <f t="shared" si="4"/>
        <v>8.45771144278607E-2</v>
      </c>
      <c r="X27">
        <f t="shared" si="5"/>
        <v>0.12935323383084577</v>
      </c>
      <c r="Y27">
        <f t="shared" si="6"/>
        <v>0.21393034825870644</v>
      </c>
      <c r="Z27">
        <f t="shared" si="7"/>
        <v>0.18905472636815918</v>
      </c>
      <c r="AA27">
        <f t="shared" si="8"/>
        <v>0.41791044776119401</v>
      </c>
      <c r="AB27">
        <f t="shared" si="9"/>
        <v>0.57711442786069655</v>
      </c>
      <c r="AC27">
        <f t="shared" si="10"/>
        <v>0.42786069651741288</v>
      </c>
      <c r="AD27">
        <f t="shared" si="11"/>
        <v>0.63184079601990051</v>
      </c>
      <c r="AE27">
        <f t="shared" si="12"/>
        <v>0.88557213930348244</v>
      </c>
      <c r="AF27">
        <f t="shared" si="13"/>
        <v>0.96019900497512434</v>
      </c>
      <c r="AG27">
        <f t="shared" si="14"/>
        <v>1</v>
      </c>
      <c r="AH27">
        <f t="shared" si="15"/>
        <v>0.691542288557214</v>
      </c>
      <c r="AI27">
        <f t="shared" si="16"/>
        <v>0.691542288557214</v>
      </c>
    </row>
    <row r="28" spans="2:35" x14ac:dyDescent="0.15">
      <c r="B28">
        <v>1993</v>
      </c>
      <c r="C28">
        <v>6.0000000000000001E-3</v>
      </c>
      <c r="D28">
        <v>1.6E-2</v>
      </c>
      <c r="E28">
        <v>7.8E-2</v>
      </c>
      <c r="F28">
        <v>6.4000000000000001E-2</v>
      </c>
      <c r="G28">
        <v>4.2999999999999997E-2</v>
      </c>
      <c r="H28">
        <v>3.6999999999999998E-2</v>
      </c>
      <c r="I28">
        <v>6.4000000000000001E-2</v>
      </c>
      <c r="J28">
        <v>6.5000000000000002E-2</v>
      </c>
      <c r="K28">
        <v>0.113</v>
      </c>
      <c r="L28">
        <v>0.14499999999999999</v>
      </c>
      <c r="M28">
        <v>9.7000000000000003E-2</v>
      </c>
      <c r="N28">
        <v>0.1</v>
      </c>
      <c r="O28">
        <v>0.114</v>
      </c>
      <c r="P28">
        <v>0.11</v>
      </c>
      <c r="Q28">
        <v>0.11700000000000001</v>
      </c>
      <c r="R28">
        <v>0.11700000000000001</v>
      </c>
      <c r="T28">
        <f t="shared" si="0"/>
        <v>4.1379310344827593E-2</v>
      </c>
      <c r="U28">
        <f t="shared" si="2"/>
        <v>0.11034482758620691</v>
      </c>
      <c r="V28">
        <f t="shared" si="3"/>
        <v>0.5379310344827587</v>
      </c>
      <c r="W28">
        <f t="shared" si="4"/>
        <v>0.44137931034482764</v>
      </c>
      <c r="X28">
        <f t="shared" si="5"/>
        <v>0.29655172413793102</v>
      </c>
      <c r="Y28">
        <f t="shared" si="6"/>
        <v>0.25517241379310346</v>
      </c>
      <c r="Z28">
        <f t="shared" si="7"/>
        <v>0.44137931034482764</v>
      </c>
      <c r="AA28">
        <f t="shared" si="8"/>
        <v>0.44827586206896558</v>
      </c>
      <c r="AB28">
        <f t="shared" si="9"/>
        <v>0.77931034482758632</v>
      </c>
      <c r="AC28">
        <f t="shared" si="10"/>
        <v>1</v>
      </c>
      <c r="AD28">
        <f t="shared" si="11"/>
        <v>0.66896551724137943</v>
      </c>
      <c r="AE28">
        <f t="shared" si="12"/>
        <v>0.68965517241379315</v>
      </c>
      <c r="AF28">
        <f t="shared" si="13"/>
        <v>0.78620689655172427</v>
      </c>
      <c r="AG28">
        <f t="shared" si="14"/>
        <v>0.75862068965517249</v>
      </c>
      <c r="AH28">
        <f t="shared" si="15"/>
        <v>0.80689655172413799</v>
      </c>
      <c r="AI28">
        <f t="shared" si="16"/>
        <v>0.80689655172413799</v>
      </c>
    </row>
    <row r="29" spans="2:35" x14ac:dyDescent="0.15">
      <c r="B29">
        <v>1994</v>
      </c>
      <c r="C29">
        <v>2.5000000000000001E-2</v>
      </c>
      <c r="D29">
        <v>1.2E-2</v>
      </c>
      <c r="E29">
        <v>2.1999999999999999E-2</v>
      </c>
      <c r="F29">
        <v>4.7E-2</v>
      </c>
      <c r="G29">
        <v>5.7000000000000002E-2</v>
      </c>
      <c r="H29">
        <v>4.2000000000000003E-2</v>
      </c>
      <c r="I29">
        <v>3.5000000000000003E-2</v>
      </c>
      <c r="J29">
        <v>7.2999999999999995E-2</v>
      </c>
      <c r="K29">
        <v>0.151</v>
      </c>
      <c r="L29">
        <v>8.8999999999999996E-2</v>
      </c>
      <c r="M29">
        <v>0.108</v>
      </c>
      <c r="N29">
        <v>0.11799999999999999</v>
      </c>
      <c r="O29">
        <v>0.105</v>
      </c>
      <c r="P29">
        <v>0.125</v>
      </c>
      <c r="Q29">
        <v>0.1</v>
      </c>
      <c r="R29">
        <v>0.1</v>
      </c>
      <c r="T29">
        <f t="shared" si="0"/>
        <v>0.16556291390728478</v>
      </c>
      <c r="U29">
        <f t="shared" si="2"/>
        <v>7.9470198675496692E-2</v>
      </c>
      <c r="V29">
        <f t="shared" si="3"/>
        <v>0.14569536423841059</v>
      </c>
      <c r="W29">
        <f t="shared" si="4"/>
        <v>0.3112582781456954</v>
      </c>
      <c r="X29">
        <f t="shared" si="5"/>
        <v>0.37748344370860931</v>
      </c>
      <c r="Y29">
        <f t="shared" si="6"/>
        <v>0.27814569536423844</v>
      </c>
      <c r="Z29">
        <f t="shared" si="7"/>
        <v>0.23178807947019869</v>
      </c>
      <c r="AA29">
        <f t="shared" si="8"/>
        <v>0.48344370860927149</v>
      </c>
      <c r="AB29">
        <f t="shared" si="9"/>
        <v>1</v>
      </c>
      <c r="AC29">
        <f t="shared" si="10"/>
        <v>0.58940397350993379</v>
      </c>
      <c r="AD29">
        <f t="shared" si="11"/>
        <v>0.71523178807947019</v>
      </c>
      <c r="AE29">
        <f t="shared" si="12"/>
        <v>0.7814569536423841</v>
      </c>
      <c r="AF29">
        <f t="shared" si="13"/>
        <v>0.69536423841059603</v>
      </c>
      <c r="AG29">
        <f t="shared" si="14"/>
        <v>0.82781456953642385</v>
      </c>
      <c r="AH29">
        <f t="shared" si="15"/>
        <v>0.66225165562913912</v>
      </c>
      <c r="AI29">
        <f t="shared" si="16"/>
        <v>0.66225165562913912</v>
      </c>
    </row>
    <row r="30" spans="2:35" x14ac:dyDescent="0.15">
      <c r="B30">
        <v>1995</v>
      </c>
      <c r="C30">
        <v>8.9999999999999993E-3</v>
      </c>
      <c r="D30">
        <v>1.9E-2</v>
      </c>
      <c r="E30">
        <v>6.2E-2</v>
      </c>
      <c r="F30">
        <v>6.3E-2</v>
      </c>
      <c r="G30">
        <v>7.5999999999999998E-2</v>
      </c>
      <c r="H30">
        <v>0.121</v>
      </c>
      <c r="I30">
        <v>3.5999999999999997E-2</v>
      </c>
      <c r="J30">
        <v>2.1999999999999999E-2</v>
      </c>
      <c r="K30">
        <v>5.1999999999999998E-2</v>
      </c>
      <c r="L30">
        <v>0.14299999999999999</v>
      </c>
      <c r="M30">
        <v>0.106</v>
      </c>
      <c r="N30">
        <v>9.2999999999999999E-2</v>
      </c>
      <c r="O30">
        <v>9.7000000000000003E-2</v>
      </c>
      <c r="P30">
        <v>0.115</v>
      </c>
      <c r="Q30">
        <v>0.152</v>
      </c>
      <c r="R30">
        <v>0.152</v>
      </c>
      <c r="T30">
        <f t="shared" si="0"/>
        <v>5.921052631578947E-2</v>
      </c>
      <c r="U30">
        <f t="shared" si="2"/>
        <v>0.125</v>
      </c>
      <c r="V30">
        <f t="shared" si="3"/>
        <v>0.40789473684210525</v>
      </c>
      <c r="W30">
        <f t="shared" si="4"/>
        <v>0.41447368421052633</v>
      </c>
      <c r="X30">
        <f t="shared" si="5"/>
        <v>0.5</v>
      </c>
      <c r="Y30">
        <f t="shared" si="6"/>
        <v>0.79605263157894735</v>
      </c>
      <c r="Z30">
        <f t="shared" si="7"/>
        <v>0.23684210526315788</v>
      </c>
      <c r="AA30">
        <f t="shared" si="8"/>
        <v>0.14473684210526316</v>
      </c>
      <c r="AB30">
        <f t="shared" si="9"/>
        <v>0.34210526315789475</v>
      </c>
      <c r="AC30">
        <f t="shared" si="10"/>
        <v>0.94078947368421051</v>
      </c>
      <c r="AD30">
        <f t="shared" si="11"/>
        <v>0.69736842105263153</v>
      </c>
      <c r="AE30">
        <f t="shared" si="12"/>
        <v>0.61184210526315785</v>
      </c>
      <c r="AF30">
        <f t="shared" si="13"/>
        <v>0.63815789473684215</v>
      </c>
      <c r="AG30">
        <f t="shared" si="14"/>
        <v>0.75657894736842113</v>
      </c>
      <c r="AH30">
        <f t="shared" si="15"/>
        <v>1</v>
      </c>
      <c r="AI30">
        <f t="shared" si="16"/>
        <v>1</v>
      </c>
    </row>
    <row r="31" spans="2:35" x14ac:dyDescent="0.15">
      <c r="B31">
        <v>1996</v>
      </c>
      <c r="C31">
        <v>6.0000000000000001E-3</v>
      </c>
      <c r="D31">
        <v>0.107</v>
      </c>
      <c r="E31">
        <v>2.8000000000000001E-2</v>
      </c>
      <c r="F31">
        <v>0.112</v>
      </c>
      <c r="G31">
        <v>8.6999999999999994E-2</v>
      </c>
      <c r="H31">
        <v>3.5999999999999997E-2</v>
      </c>
      <c r="I31">
        <v>4.9000000000000002E-2</v>
      </c>
      <c r="J31">
        <v>7.6999999999999999E-2</v>
      </c>
      <c r="K31">
        <v>3.5000000000000003E-2</v>
      </c>
      <c r="L31">
        <v>4.4999999999999998E-2</v>
      </c>
      <c r="M31">
        <v>0.12</v>
      </c>
      <c r="N31">
        <v>0.122</v>
      </c>
      <c r="O31">
        <v>0.126</v>
      </c>
      <c r="P31">
        <v>0.123</v>
      </c>
      <c r="Q31">
        <v>0.16300000000000001</v>
      </c>
      <c r="R31">
        <v>0.16300000000000001</v>
      </c>
      <c r="T31">
        <f t="shared" si="0"/>
        <v>3.6809815950920248E-2</v>
      </c>
      <c r="U31">
        <f t="shared" si="2"/>
        <v>0.65644171779141103</v>
      </c>
      <c r="V31">
        <f t="shared" si="3"/>
        <v>0.17177914110429449</v>
      </c>
      <c r="W31">
        <f t="shared" si="4"/>
        <v>0.68711656441717794</v>
      </c>
      <c r="X31">
        <f t="shared" si="5"/>
        <v>0.53374233128834347</v>
      </c>
      <c r="Y31">
        <f t="shared" si="6"/>
        <v>0.22085889570552145</v>
      </c>
      <c r="Z31">
        <f t="shared" si="7"/>
        <v>0.30061349693251532</v>
      </c>
      <c r="AA31">
        <f t="shared" si="8"/>
        <v>0.47239263803680981</v>
      </c>
      <c r="AB31">
        <f t="shared" si="9"/>
        <v>0.21472392638036811</v>
      </c>
      <c r="AC31">
        <f t="shared" si="10"/>
        <v>0.2760736196319018</v>
      </c>
      <c r="AD31">
        <f t="shared" si="11"/>
        <v>0.73619631901840488</v>
      </c>
      <c r="AE31">
        <f t="shared" si="12"/>
        <v>0.74846625766871167</v>
      </c>
      <c r="AF31">
        <f t="shared" si="13"/>
        <v>0.77300613496932513</v>
      </c>
      <c r="AG31">
        <f t="shared" si="14"/>
        <v>0.754601226993865</v>
      </c>
      <c r="AH31">
        <f t="shared" si="15"/>
        <v>1</v>
      </c>
      <c r="AI31">
        <f t="shared" si="16"/>
        <v>1</v>
      </c>
    </row>
    <row r="32" spans="2:35" x14ac:dyDescent="0.15">
      <c r="B32">
        <v>1997</v>
      </c>
      <c r="C32">
        <v>4.0000000000000001E-3</v>
      </c>
      <c r="D32">
        <v>1.4999999999999999E-2</v>
      </c>
      <c r="E32">
        <v>9.2999999999999999E-2</v>
      </c>
      <c r="F32">
        <v>1.9E-2</v>
      </c>
      <c r="G32">
        <v>0.04</v>
      </c>
      <c r="H32">
        <v>4.8000000000000001E-2</v>
      </c>
      <c r="I32">
        <v>5.2999999999999999E-2</v>
      </c>
      <c r="J32">
        <v>7.9000000000000001E-2</v>
      </c>
      <c r="K32">
        <v>7.6999999999999999E-2</v>
      </c>
      <c r="L32">
        <v>5.8999999999999997E-2</v>
      </c>
      <c r="M32">
        <v>5.1999999999999998E-2</v>
      </c>
      <c r="N32">
        <v>9.1999999999999998E-2</v>
      </c>
      <c r="O32">
        <v>0.129</v>
      </c>
      <c r="P32">
        <v>0.16800000000000001</v>
      </c>
      <c r="Q32">
        <v>0.17599999999999999</v>
      </c>
      <c r="R32">
        <v>0.17599999999999999</v>
      </c>
      <c r="T32">
        <f t="shared" si="0"/>
        <v>2.2727272727272728E-2</v>
      </c>
      <c r="U32">
        <f t="shared" si="2"/>
        <v>8.5227272727272735E-2</v>
      </c>
      <c r="V32">
        <f t="shared" si="3"/>
        <v>0.52840909090909094</v>
      </c>
      <c r="W32">
        <f t="shared" si="4"/>
        <v>0.10795454545454546</v>
      </c>
      <c r="X32">
        <f t="shared" si="5"/>
        <v>0.22727272727272729</v>
      </c>
      <c r="Y32">
        <f t="shared" si="6"/>
        <v>0.27272727272727276</v>
      </c>
      <c r="Z32">
        <f t="shared" si="7"/>
        <v>0.30113636363636365</v>
      </c>
      <c r="AA32">
        <f t="shared" si="8"/>
        <v>0.44886363636363641</v>
      </c>
      <c r="AB32">
        <f t="shared" si="9"/>
        <v>0.4375</v>
      </c>
      <c r="AC32">
        <f t="shared" si="10"/>
        <v>0.33522727272727271</v>
      </c>
      <c r="AD32">
        <f t="shared" si="11"/>
        <v>0.29545454545454547</v>
      </c>
      <c r="AE32">
        <f t="shared" si="12"/>
        <v>0.52272727272727271</v>
      </c>
      <c r="AF32">
        <f t="shared" si="13"/>
        <v>0.73295454545454553</v>
      </c>
      <c r="AG32">
        <f t="shared" si="14"/>
        <v>0.9545454545454547</v>
      </c>
      <c r="AH32">
        <f t="shared" si="15"/>
        <v>1</v>
      </c>
      <c r="AI32">
        <f t="shared" si="16"/>
        <v>1</v>
      </c>
    </row>
    <row r="33" spans="2:35" x14ac:dyDescent="0.15">
      <c r="B33">
        <v>1998</v>
      </c>
      <c r="C33">
        <v>4.0000000000000001E-3</v>
      </c>
      <c r="D33">
        <v>1.4999999999999999E-2</v>
      </c>
      <c r="E33">
        <v>5.6000000000000001E-2</v>
      </c>
      <c r="F33">
        <v>6.3E-2</v>
      </c>
      <c r="G33">
        <v>1.4999999999999999E-2</v>
      </c>
      <c r="H33">
        <v>4.1000000000000002E-2</v>
      </c>
      <c r="I33">
        <v>2.9000000000000001E-2</v>
      </c>
      <c r="J33">
        <v>6.8000000000000005E-2</v>
      </c>
      <c r="K33">
        <v>0.129</v>
      </c>
      <c r="L33">
        <v>0.13700000000000001</v>
      </c>
      <c r="M33">
        <v>8.6999999999999994E-2</v>
      </c>
      <c r="N33">
        <v>7.5999999999999998E-2</v>
      </c>
      <c r="O33">
        <v>0.13300000000000001</v>
      </c>
      <c r="P33">
        <v>0.17199999999999999</v>
      </c>
      <c r="Q33">
        <v>0.16500000000000001</v>
      </c>
      <c r="R33">
        <v>0.16500000000000001</v>
      </c>
      <c r="T33">
        <f t="shared" si="0"/>
        <v>2.3255813953488375E-2</v>
      </c>
      <c r="U33">
        <f t="shared" si="2"/>
        <v>8.7209302325581398E-2</v>
      </c>
      <c r="V33">
        <f t="shared" si="3"/>
        <v>0.32558139534883723</v>
      </c>
      <c r="W33">
        <f t="shared" si="4"/>
        <v>0.3662790697674419</v>
      </c>
      <c r="X33">
        <f t="shared" si="5"/>
        <v>8.7209302325581398E-2</v>
      </c>
      <c r="Y33">
        <f t="shared" si="6"/>
        <v>0.23837209302325585</v>
      </c>
      <c r="Z33">
        <f t="shared" si="7"/>
        <v>0.16860465116279072</v>
      </c>
      <c r="AA33">
        <f t="shared" si="8"/>
        <v>0.39534883720930236</v>
      </c>
      <c r="AB33">
        <f t="shared" si="9"/>
        <v>0.75000000000000011</v>
      </c>
      <c r="AC33">
        <f t="shared" si="10"/>
        <v>0.79651162790697683</v>
      </c>
      <c r="AD33">
        <f t="shared" si="11"/>
        <v>0.5058139534883721</v>
      </c>
      <c r="AE33">
        <f t="shared" si="12"/>
        <v>0.44186046511627908</v>
      </c>
      <c r="AF33">
        <f t="shared" si="13"/>
        <v>0.77325581395348852</v>
      </c>
      <c r="AG33">
        <f t="shared" si="14"/>
        <v>1</v>
      </c>
      <c r="AH33">
        <f t="shared" si="15"/>
        <v>0.9593023255813955</v>
      </c>
      <c r="AI33">
        <f t="shared" si="16"/>
        <v>0.9593023255813955</v>
      </c>
    </row>
    <row r="34" spans="2:35" x14ac:dyDescent="0.15">
      <c r="B34">
        <v>1999</v>
      </c>
      <c r="C34">
        <v>1E-3</v>
      </c>
      <c r="D34">
        <v>7.0000000000000001E-3</v>
      </c>
      <c r="E34">
        <v>3.7999999999999999E-2</v>
      </c>
      <c r="F34">
        <v>3.5999999999999997E-2</v>
      </c>
      <c r="G34">
        <v>3.9E-2</v>
      </c>
      <c r="H34">
        <v>2.1999999999999999E-2</v>
      </c>
      <c r="I34">
        <v>3.2000000000000001E-2</v>
      </c>
      <c r="J34">
        <v>8.5000000000000006E-2</v>
      </c>
      <c r="K34">
        <v>8.3000000000000004E-2</v>
      </c>
      <c r="L34">
        <v>0.13200000000000001</v>
      </c>
      <c r="M34">
        <v>0.13100000000000001</v>
      </c>
      <c r="N34">
        <v>0.13800000000000001</v>
      </c>
      <c r="O34">
        <v>0.14699999999999999</v>
      </c>
      <c r="P34">
        <v>0.193</v>
      </c>
      <c r="Q34">
        <v>0.186</v>
      </c>
      <c r="R34">
        <v>0.186</v>
      </c>
      <c r="T34">
        <f t="shared" si="0"/>
        <v>5.1813471502590676E-3</v>
      </c>
      <c r="U34">
        <f t="shared" si="2"/>
        <v>3.6269430051813469E-2</v>
      </c>
      <c r="V34">
        <f t="shared" si="3"/>
        <v>0.19689119170984454</v>
      </c>
      <c r="W34">
        <f t="shared" si="4"/>
        <v>0.18652849740932639</v>
      </c>
      <c r="X34">
        <f t="shared" si="5"/>
        <v>0.20207253886010362</v>
      </c>
      <c r="Y34">
        <f t="shared" si="6"/>
        <v>0.11398963730569947</v>
      </c>
      <c r="Z34">
        <f t="shared" si="7"/>
        <v>0.16580310880829016</v>
      </c>
      <c r="AA34">
        <f t="shared" si="8"/>
        <v>0.44041450777202074</v>
      </c>
      <c r="AB34">
        <f t="shared" si="9"/>
        <v>0.43005181347150262</v>
      </c>
      <c r="AC34">
        <f t="shared" si="10"/>
        <v>0.68393782383419688</v>
      </c>
      <c r="AD34">
        <f t="shared" si="11"/>
        <v>0.67875647668393779</v>
      </c>
      <c r="AE34">
        <f t="shared" si="12"/>
        <v>0.71502590673575128</v>
      </c>
      <c r="AF34">
        <f t="shared" si="13"/>
        <v>0.76165803108808283</v>
      </c>
      <c r="AG34">
        <f t="shared" si="14"/>
        <v>1</v>
      </c>
      <c r="AH34">
        <f t="shared" si="15"/>
        <v>0.96373056994818651</v>
      </c>
      <c r="AI34">
        <f t="shared" si="16"/>
        <v>0.96373056994818651</v>
      </c>
    </row>
    <row r="35" spans="2:35" x14ac:dyDescent="0.15">
      <c r="B35">
        <v>2000</v>
      </c>
      <c r="C35">
        <v>1E-3</v>
      </c>
      <c r="D35">
        <v>3.0000000000000001E-3</v>
      </c>
      <c r="E35">
        <v>1.4999999999999999E-2</v>
      </c>
      <c r="F35">
        <v>2.7E-2</v>
      </c>
      <c r="G35">
        <v>8.5999999999999993E-2</v>
      </c>
      <c r="H35">
        <v>8.4000000000000005E-2</v>
      </c>
      <c r="I35">
        <v>5.3999999999999999E-2</v>
      </c>
      <c r="J35">
        <v>6.8000000000000005E-2</v>
      </c>
      <c r="K35">
        <v>7.3999999999999996E-2</v>
      </c>
      <c r="L35">
        <v>8.8999999999999996E-2</v>
      </c>
      <c r="M35">
        <v>9.9000000000000005E-2</v>
      </c>
      <c r="N35">
        <v>0.10299999999999999</v>
      </c>
      <c r="O35">
        <v>0.11799999999999999</v>
      </c>
      <c r="P35">
        <v>0.14799999999999999</v>
      </c>
      <c r="Q35">
        <v>0.17799999999999999</v>
      </c>
      <c r="R35">
        <v>0.17799999999999999</v>
      </c>
      <c r="T35">
        <f t="shared" si="0"/>
        <v>5.6179775280898884E-3</v>
      </c>
      <c r="U35">
        <f t="shared" si="2"/>
        <v>1.6853932584269662E-2</v>
      </c>
      <c r="V35">
        <f t="shared" si="3"/>
        <v>8.4269662921348312E-2</v>
      </c>
      <c r="W35">
        <f t="shared" si="4"/>
        <v>0.15168539325842698</v>
      </c>
      <c r="X35">
        <f t="shared" si="5"/>
        <v>0.4831460674157303</v>
      </c>
      <c r="Y35">
        <f t="shared" si="6"/>
        <v>0.4719101123595506</v>
      </c>
      <c r="Z35">
        <f t="shared" si="7"/>
        <v>0.30337078651685395</v>
      </c>
      <c r="AA35">
        <f t="shared" si="8"/>
        <v>0.3820224719101124</v>
      </c>
      <c r="AB35">
        <f t="shared" si="9"/>
        <v>0.4157303370786517</v>
      </c>
      <c r="AC35">
        <f t="shared" si="10"/>
        <v>0.5</v>
      </c>
      <c r="AD35">
        <f t="shared" si="11"/>
        <v>0.5561797752808989</v>
      </c>
      <c r="AE35">
        <f t="shared" si="12"/>
        <v>0.5786516853932584</v>
      </c>
      <c r="AF35">
        <f t="shared" si="13"/>
        <v>0.6629213483146067</v>
      </c>
      <c r="AG35">
        <f t="shared" si="14"/>
        <v>0.8314606741573034</v>
      </c>
      <c r="AH35">
        <f t="shared" si="15"/>
        <v>1</v>
      </c>
      <c r="AI35">
        <f t="shared" si="16"/>
        <v>1</v>
      </c>
    </row>
    <row r="36" spans="2:35" x14ac:dyDescent="0.15">
      <c r="B36">
        <v>2001</v>
      </c>
      <c r="C36">
        <v>1.7000000000000001E-2</v>
      </c>
      <c r="D36">
        <v>5.0000000000000001E-3</v>
      </c>
      <c r="E36">
        <v>3.3000000000000002E-2</v>
      </c>
      <c r="F36">
        <v>7.3999999999999996E-2</v>
      </c>
      <c r="G36">
        <v>2.7E-2</v>
      </c>
      <c r="H36">
        <v>3.7999999999999999E-2</v>
      </c>
      <c r="I36">
        <v>5.8000000000000003E-2</v>
      </c>
      <c r="J36">
        <v>0.09</v>
      </c>
      <c r="K36">
        <v>4.5999999999999999E-2</v>
      </c>
      <c r="L36">
        <v>6.9000000000000006E-2</v>
      </c>
      <c r="M36">
        <v>0.112</v>
      </c>
      <c r="N36">
        <v>0.16300000000000001</v>
      </c>
      <c r="O36">
        <v>0.151</v>
      </c>
      <c r="P36">
        <v>0.152</v>
      </c>
      <c r="Q36">
        <v>0.183</v>
      </c>
      <c r="R36">
        <v>0.183</v>
      </c>
      <c r="T36">
        <f t="shared" ref="T36:AI50" si="17">C36/MAX($C36:$R36)</f>
        <v>9.2896174863387984E-2</v>
      </c>
      <c r="U36">
        <f t="shared" si="17"/>
        <v>2.7322404371584702E-2</v>
      </c>
      <c r="V36">
        <f t="shared" si="17"/>
        <v>0.18032786885245902</v>
      </c>
      <c r="W36">
        <f t="shared" si="17"/>
        <v>0.40437158469945356</v>
      </c>
      <c r="X36">
        <f t="shared" si="17"/>
        <v>0.14754098360655737</v>
      </c>
      <c r="Y36">
        <f t="shared" si="17"/>
        <v>0.20765027322404372</v>
      </c>
      <c r="Z36">
        <f t="shared" si="17"/>
        <v>0.31693989071038253</v>
      </c>
      <c r="AA36">
        <f t="shared" si="17"/>
        <v>0.49180327868852458</v>
      </c>
      <c r="AB36">
        <f t="shared" si="17"/>
        <v>0.25136612021857924</v>
      </c>
      <c r="AC36">
        <f t="shared" si="17"/>
        <v>0.37704918032786888</v>
      </c>
      <c r="AD36">
        <f t="shared" si="17"/>
        <v>0.61202185792349728</v>
      </c>
      <c r="AE36">
        <f t="shared" si="17"/>
        <v>0.8907103825136613</v>
      </c>
      <c r="AF36">
        <f t="shared" si="17"/>
        <v>0.82513661202185795</v>
      </c>
      <c r="AG36">
        <f t="shared" si="17"/>
        <v>0.8306010928961749</v>
      </c>
      <c r="AH36">
        <f t="shared" si="17"/>
        <v>1</v>
      </c>
      <c r="AI36">
        <f t="shared" si="17"/>
        <v>1</v>
      </c>
    </row>
    <row r="37" spans="2:35" x14ac:dyDescent="0.15">
      <c r="B37">
        <v>2002</v>
      </c>
      <c r="C37">
        <v>8.9999999999999993E-3</v>
      </c>
      <c r="D37">
        <v>7.9000000000000001E-2</v>
      </c>
      <c r="E37">
        <v>6.6000000000000003E-2</v>
      </c>
      <c r="F37">
        <v>7.5999999999999998E-2</v>
      </c>
      <c r="G37">
        <v>9.8000000000000004E-2</v>
      </c>
      <c r="H37">
        <v>4.2999999999999997E-2</v>
      </c>
      <c r="I37">
        <v>3.4000000000000002E-2</v>
      </c>
      <c r="J37">
        <v>0.123</v>
      </c>
      <c r="K37">
        <v>0.13200000000000001</v>
      </c>
      <c r="L37">
        <v>0.124</v>
      </c>
      <c r="M37">
        <v>0.10100000000000001</v>
      </c>
      <c r="N37">
        <v>0.115</v>
      </c>
      <c r="O37">
        <v>0.191</v>
      </c>
      <c r="P37">
        <v>0.16700000000000001</v>
      </c>
      <c r="Q37">
        <v>0.185</v>
      </c>
      <c r="R37">
        <v>0.185</v>
      </c>
      <c r="T37">
        <f t="shared" si="17"/>
        <v>4.7120418848167533E-2</v>
      </c>
      <c r="U37">
        <f t="shared" si="17"/>
        <v>0.41361256544502617</v>
      </c>
      <c r="V37">
        <f t="shared" si="17"/>
        <v>0.34554973821989532</v>
      </c>
      <c r="W37">
        <f t="shared" si="17"/>
        <v>0.39790575916230364</v>
      </c>
      <c r="X37">
        <f t="shared" si="17"/>
        <v>0.51308900523560208</v>
      </c>
      <c r="Y37">
        <f t="shared" si="17"/>
        <v>0.22513089005235601</v>
      </c>
      <c r="Z37">
        <f t="shared" si="17"/>
        <v>0.1780104712041885</v>
      </c>
      <c r="AA37">
        <f t="shared" si="17"/>
        <v>0.64397905759162299</v>
      </c>
      <c r="AB37">
        <f t="shared" si="17"/>
        <v>0.69109947643979064</v>
      </c>
      <c r="AC37">
        <f t="shared" si="17"/>
        <v>0.64921465968586389</v>
      </c>
      <c r="AD37">
        <f t="shared" si="17"/>
        <v>0.52879581151832467</v>
      </c>
      <c r="AE37">
        <f t="shared" si="17"/>
        <v>0.60209424083769636</v>
      </c>
      <c r="AF37">
        <f t="shared" si="17"/>
        <v>1</v>
      </c>
      <c r="AG37">
        <f t="shared" si="17"/>
        <v>0.87434554973821998</v>
      </c>
      <c r="AH37">
        <f t="shared" si="17"/>
        <v>0.96858638743455494</v>
      </c>
      <c r="AI37">
        <f t="shared" si="17"/>
        <v>0.96858638743455494</v>
      </c>
    </row>
    <row r="38" spans="2:35" x14ac:dyDescent="0.15">
      <c r="B38">
        <v>2003</v>
      </c>
      <c r="C38">
        <v>2E-3</v>
      </c>
      <c r="D38">
        <v>3.2000000000000001E-2</v>
      </c>
      <c r="E38">
        <v>0.08</v>
      </c>
      <c r="F38">
        <v>7.2999999999999995E-2</v>
      </c>
      <c r="G38">
        <v>3.7999999999999999E-2</v>
      </c>
      <c r="H38">
        <v>3.9E-2</v>
      </c>
      <c r="I38">
        <v>1.2999999999999999E-2</v>
      </c>
      <c r="J38">
        <v>5.5E-2</v>
      </c>
      <c r="K38">
        <v>0.11600000000000001</v>
      </c>
      <c r="L38">
        <v>0.11</v>
      </c>
      <c r="M38">
        <v>8.5999999999999993E-2</v>
      </c>
      <c r="N38">
        <v>0.05</v>
      </c>
      <c r="O38">
        <v>0.09</v>
      </c>
      <c r="P38">
        <v>0.13100000000000001</v>
      </c>
      <c r="Q38">
        <v>0.13800000000000001</v>
      </c>
      <c r="R38">
        <v>0.13800000000000001</v>
      </c>
      <c r="T38">
        <f t="shared" si="17"/>
        <v>1.4492753623188404E-2</v>
      </c>
      <c r="U38">
        <f t="shared" si="17"/>
        <v>0.23188405797101447</v>
      </c>
      <c r="V38">
        <f t="shared" si="17"/>
        <v>0.57971014492753614</v>
      </c>
      <c r="W38">
        <f t="shared" si="17"/>
        <v>0.52898550724637672</v>
      </c>
      <c r="X38">
        <f t="shared" si="17"/>
        <v>0.27536231884057966</v>
      </c>
      <c r="Y38">
        <f t="shared" si="17"/>
        <v>0.28260869565217389</v>
      </c>
      <c r="Z38">
        <f t="shared" si="17"/>
        <v>9.4202898550724626E-2</v>
      </c>
      <c r="AA38">
        <f t="shared" si="17"/>
        <v>0.39855072463768115</v>
      </c>
      <c r="AB38">
        <f t="shared" si="17"/>
        <v>0.84057971014492749</v>
      </c>
      <c r="AC38">
        <f t="shared" si="17"/>
        <v>0.79710144927536231</v>
      </c>
      <c r="AD38">
        <f t="shared" si="17"/>
        <v>0.62318840579710133</v>
      </c>
      <c r="AE38">
        <f t="shared" si="17"/>
        <v>0.36231884057971014</v>
      </c>
      <c r="AF38">
        <f t="shared" si="17"/>
        <v>0.65217391304347816</v>
      </c>
      <c r="AG38">
        <f t="shared" si="17"/>
        <v>0.94927536231884058</v>
      </c>
      <c r="AH38">
        <f t="shared" si="17"/>
        <v>1</v>
      </c>
      <c r="AI38">
        <f t="shared" si="17"/>
        <v>1</v>
      </c>
    </row>
    <row r="39" spans="2:35" x14ac:dyDescent="0.15">
      <c r="B39">
        <v>2004</v>
      </c>
      <c r="C39">
        <v>6.0000000000000001E-3</v>
      </c>
      <c r="D39">
        <v>1.9E-2</v>
      </c>
      <c r="E39">
        <v>0.10199999999999999</v>
      </c>
      <c r="F39">
        <v>5.6000000000000001E-2</v>
      </c>
      <c r="G39">
        <v>6.8000000000000005E-2</v>
      </c>
      <c r="H39">
        <v>7.1999999999999995E-2</v>
      </c>
      <c r="I39">
        <v>4.5999999999999999E-2</v>
      </c>
      <c r="J39">
        <v>7.0000000000000007E-2</v>
      </c>
      <c r="K39">
        <v>5.0999999999999997E-2</v>
      </c>
      <c r="L39">
        <v>6.9000000000000006E-2</v>
      </c>
      <c r="M39">
        <v>6.5000000000000002E-2</v>
      </c>
      <c r="N39">
        <v>7.2999999999999995E-2</v>
      </c>
      <c r="O39">
        <v>6.7000000000000004E-2</v>
      </c>
      <c r="P39">
        <v>6.5000000000000002E-2</v>
      </c>
      <c r="Q39">
        <v>9.8000000000000004E-2</v>
      </c>
      <c r="R39">
        <v>9.8000000000000004E-2</v>
      </c>
      <c r="T39">
        <f t="shared" si="17"/>
        <v>5.8823529411764712E-2</v>
      </c>
      <c r="U39">
        <f t="shared" si="17"/>
        <v>0.18627450980392157</v>
      </c>
      <c r="V39">
        <f t="shared" si="17"/>
        <v>1</v>
      </c>
      <c r="W39">
        <f t="shared" si="17"/>
        <v>0.5490196078431373</v>
      </c>
      <c r="X39">
        <f t="shared" si="17"/>
        <v>0.66666666666666674</v>
      </c>
      <c r="Y39">
        <f t="shared" si="17"/>
        <v>0.70588235294117652</v>
      </c>
      <c r="Z39">
        <f t="shared" si="17"/>
        <v>0.45098039215686275</v>
      </c>
      <c r="AA39">
        <f t="shared" si="17"/>
        <v>0.68627450980392168</v>
      </c>
      <c r="AB39">
        <f t="shared" si="17"/>
        <v>0.5</v>
      </c>
      <c r="AC39">
        <f t="shared" si="17"/>
        <v>0.67647058823529427</v>
      </c>
      <c r="AD39">
        <f t="shared" si="17"/>
        <v>0.63725490196078438</v>
      </c>
      <c r="AE39">
        <f t="shared" si="17"/>
        <v>0.71568627450980393</v>
      </c>
      <c r="AF39">
        <f t="shared" si="17"/>
        <v>0.65686274509803932</v>
      </c>
      <c r="AG39">
        <f t="shared" si="17"/>
        <v>0.63725490196078438</v>
      </c>
      <c r="AH39">
        <f t="shared" si="17"/>
        <v>0.96078431372549034</v>
      </c>
      <c r="AI39">
        <f t="shared" si="17"/>
        <v>0.96078431372549034</v>
      </c>
    </row>
    <row r="40" spans="2:35" x14ac:dyDescent="0.15">
      <c r="B40">
        <v>2005</v>
      </c>
      <c r="C40">
        <v>1.2E-2</v>
      </c>
      <c r="D40">
        <v>4.1000000000000002E-2</v>
      </c>
      <c r="E40">
        <v>2.1000000000000001E-2</v>
      </c>
      <c r="F40">
        <v>4.7E-2</v>
      </c>
      <c r="G40">
        <v>2.8000000000000001E-2</v>
      </c>
      <c r="H40">
        <v>2.5000000000000001E-2</v>
      </c>
      <c r="I40">
        <v>2.1000000000000001E-2</v>
      </c>
      <c r="J40">
        <v>3.6999999999999998E-2</v>
      </c>
      <c r="K40">
        <v>4.7E-2</v>
      </c>
      <c r="L40">
        <v>4.2999999999999997E-2</v>
      </c>
      <c r="M40">
        <v>8.4000000000000005E-2</v>
      </c>
      <c r="N40">
        <v>0.111</v>
      </c>
      <c r="O40">
        <v>0.10299999999999999</v>
      </c>
      <c r="P40">
        <v>7.0999999999999994E-2</v>
      </c>
      <c r="Q40">
        <v>9.7000000000000003E-2</v>
      </c>
      <c r="R40">
        <v>9.7000000000000003E-2</v>
      </c>
      <c r="T40">
        <f t="shared" si="17"/>
        <v>0.10810810810810811</v>
      </c>
      <c r="U40">
        <f t="shared" si="17"/>
        <v>0.36936936936936937</v>
      </c>
      <c r="V40">
        <f t="shared" si="17"/>
        <v>0.1891891891891892</v>
      </c>
      <c r="W40">
        <f t="shared" si="17"/>
        <v>0.42342342342342343</v>
      </c>
      <c r="X40">
        <f t="shared" si="17"/>
        <v>0.25225225225225223</v>
      </c>
      <c r="Y40">
        <f t="shared" si="17"/>
        <v>0.22522522522522523</v>
      </c>
      <c r="Z40">
        <f t="shared" si="17"/>
        <v>0.1891891891891892</v>
      </c>
      <c r="AA40">
        <f t="shared" si="17"/>
        <v>0.33333333333333331</v>
      </c>
      <c r="AB40">
        <f t="shared" si="17"/>
        <v>0.42342342342342343</v>
      </c>
      <c r="AC40">
        <f t="shared" si="17"/>
        <v>0.38738738738738737</v>
      </c>
      <c r="AD40">
        <f t="shared" si="17"/>
        <v>0.7567567567567568</v>
      </c>
      <c r="AE40">
        <f t="shared" si="17"/>
        <v>1</v>
      </c>
      <c r="AF40">
        <f t="shared" si="17"/>
        <v>0.92792792792792789</v>
      </c>
      <c r="AG40">
        <f t="shared" si="17"/>
        <v>0.63963963963963955</v>
      </c>
      <c r="AH40">
        <f t="shared" si="17"/>
        <v>0.87387387387387394</v>
      </c>
      <c r="AI40">
        <f t="shared" si="17"/>
        <v>0.87387387387387394</v>
      </c>
    </row>
    <row r="41" spans="2:35" x14ac:dyDescent="0.15">
      <c r="B41">
        <v>2006</v>
      </c>
      <c r="C41">
        <v>3.0000000000000001E-3</v>
      </c>
      <c r="D41">
        <v>1.2999999999999999E-2</v>
      </c>
      <c r="E41">
        <v>1.2E-2</v>
      </c>
      <c r="F41">
        <v>1.7000000000000001E-2</v>
      </c>
      <c r="G41">
        <v>5.3999999999999999E-2</v>
      </c>
      <c r="H41">
        <v>6.3E-2</v>
      </c>
      <c r="I41">
        <v>3.7999999999999999E-2</v>
      </c>
      <c r="J41">
        <v>3.7999999999999999E-2</v>
      </c>
      <c r="K41">
        <v>6.3E-2</v>
      </c>
      <c r="L41">
        <v>8.6999999999999994E-2</v>
      </c>
      <c r="M41">
        <v>6.8000000000000005E-2</v>
      </c>
      <c r="N41">
        <v>8.2000000000000003E-2</v>
      </c>
      <c r="O41">
        <v>7.6999999999999999E-2</v>
      </c>
      <c r="P41">
        <v>7.9000000000000001E-2</v>
      </c>
      <c r="Q41">
        <v>0.11</v>
      </c>
      <c r="R41">
        <v>0.11</v>
      </c>
      <c r="T41">
        <f t="shared" si="17"/>
        <v>2.7272727272727275E-2</v>
      </c>
      <c r="U41">
        <f t="shared" si="17"/>
        <v>0.11818181818181818</v>
      </c>
      <c r="V41">
        <f t="shared" si="17"/>
        <v>0.1090909090909091</v>
      </c>
      <c r="W41">
        <f t="shared" si="17"/>
        <v>0.15454545454545457</v>
      </c>
      <c r="X41">
        <f t="shared" si="17"/>
        <v>0.49090909090909091</v>
      </c>
      <c r="Y41">
        <f t="shared" si="17"/>
        <v>0.57272727272727275</v>
      </c>
      <c r="Z41">
        <f t="shared" si="17"/>
        <v>0.34545454545454546</v>
      </c>
      <c r="AA41">
        <f t="shared" si="17"/>
        <v>0.34545454545454546</v>
      </c>
      <c r="AB41">
        <f t="shared" si="17"/>
        <v>0.57272727272727275</v>
      </c>
      <c r="AC41">
        <f t="shared" si="17"/>
        <v>0.79090909090909089</v>
      </c>
      <c r="AD41">
        <f t="shared" si="17"/>
        <v>0.61818181818181828</v>
      </c>
      <c r="AE41">
        <f t="shared" si="17"/>
        <v>0.74545454545454548</v>
      </c>
      <c r="AF41">
        <f t="shared" si="17"/>
        <v>0.7</v>
      </c>
      <c r="AG41">
        <f t="shared" si="17"/>
        <v>0.71818181818181814</v>
      </c>
      <c r="AH41">
        <f t="shared" si="17"/>
        <v>1</v>
      </c>
      <c r="AI41">
        <f t="shared" si="17"/>
        <v>1</v>
      </c>
    </row>
    <row r="42" spans="2:35" x14ac:dyDescent="0.15">
      <c r="B42">
        <v>2007</v>
      </c>
      <c r="C42">
        <v>1E-3</v>
      </c>
      <c r="D42">
        <v>4.0000000000000001E-3</v>
      </c>
      <c r="E42">
        <v>0.16700000000000001</v>
      </c>
      <c r="F42">
        <v>0.114</v>
      </c>
      <c r="G42">
        <v>2.5000000000000001E-2</v>
      </c>
      <c r="H42">
        <v>4.8000000000000001E-2</v>
      </c>
      <c r="I42">
        <v>4.5999999999999999E-2</v>
      </c>
      <c r="J42">
        <v>2.8000000000000001E-2</v>
      </c>
      <c r="K42">
        <v>2.4E-2</v>
      </c>
      <c r="L42">
        <v>1.9E-2</v>
      </c>
      <c r="M42">
        <v>0.04</v>
      </c>
      <c r="N42">
        <v>3.5999999999999997E-2</v>
      </c>
      <c r="O42">
        <v>4.3999999999999997E-2</v>
      </c>
      <c r="P42">
        <v>4.3999999999999997E-2</v>
      </c>
      <c r="Q42">
        <v>6.2E-2</v>
      </c>
      <c r="R42">
        <v>6.2E-2</v>
      </c>
      <c r="T42">
        <f t="shared" si="17"/>
        <v>5.9880239520958079E-3</v>
      </c>
      <c r="U42">
        <f t="shared" si="17"/>
        <v>2.3952095808383232E-2</v>
      </c>
      <c r="V42">
        <f t="shared" si="17"/>
        <v>1</v>
      </c>
      <c r="W42">
        <f t="shared" si="17"/>
        <v>0.6826347305389221</v>
      </c>
      <c r="X42">
        <f t="shared" si="17"/>
        <v>0.1497005988023952</v>
      </c>
      <c r="Y42">
        <f t="shared" si="17"/>
        <v>0.28742514970059879</v>
      </c>
      <c r="Z42">
        <f t="shared" si="17"/>
        <v>0.27544910179640719</v>
      </c>
      <c r="AA42">
        <f t="shared" si="17"/>
        <v>0.16766467065868262</v>
      </c>
      <c r="AB42">
        <f t="shared" si="17"/>
        <v>0.1437125748502994</v>
      </c>
      <c r="AC42">
        <f t="shared" si="17"/>
        <v>0.11377245508982035</v>
      </c>
      <c r="AD42">
        <f t="shared" si="17"/>
        <v>0.23952095808383234</v>
      </c>
      <c r="AE42">
        <f t="shared" si="17"/>
        <v>0.21556886227544908</v>
      </c>
      <c r="AF42">
        <f t="shared" si="17"/>
        <v>0.26347305389221554</v>
      </c>
      <c r="AG42">
        <f t="shared" si="17"/>
        <v>0.26347305389221554</v>
      </c>
      <c r="AH42">
        <f t="shared" si="17"/>
        <v>0.3712574850299401</v>
      </c>
      <c r="AI42">
        <f t="shared" si="17"/>
        <v>0.3712574850299401</v>
      </c>
    </row>
    <row r="43" spans="2:35" x14ac:dyDescent="0.15">
      <c r="B43">
        <v>2008</v>
      </c>
      <c r="C43">
        <v>1E-3</v>
      </c>
      <c r="D43">
        <v>0.01</v>
      </c>
      <c r="E43">
        <v>3.7999999999999999E-2</v>
      </c>
      <c r="F43">
        <v>6.8000000000000005E-2</v>
      </c>
      <c r="G43">
        <v>0.1</v>
      </c>
      <c r="H43">
        <v>2.1999999999999999E-2</v>
      </c>
      <c r="I43">
        <v>5.8000000000000003E-2</v>
      </c>
      <c r="J43">
        <v>8.5999999999999993E-2</v>
      </c>
      <c r="K43">
        <v>0.06</v>
      </c>
      <c r="L43">
        <v>4.2999999999999997E-2</v>
      </c>
      <c r="M43">
        <v>4.3999999999999997E-2</v>
      </c>
      <c r="N43">
        <v>4.2000000000000003E-2</v>
      </c>
      <c r="O43">
        <v>0.04</v>
      </c>
      <c r="P43">
        <v>4.2000000000000003E-2</v>
      </c>
      <c r="Q43">
        <v>7.2999999999999995E-2</v>
      </c>
      <c r="R43">
        <v>7.2999999999999995E-2</v>
      </c>
      <c r="T43">
        <f t="shared" si="17"/>
        <v>0.01</v>
      </c>
      <c r="U43">
        <f t="shared" si="17"/>
        <v>9.9999999999999992E-2</v>
      </c>
      <c r="V43">
        <f t="shared" si="17"/>
        <v>0.37999999999999995</v>
      </c>
      <c r="W43">
        <f t="shared" si="17"/>
        <v>0.68</v>
      </c>
      <c r="X43">
        <f t="shared" si="17"/>
        <v>1</v>
      </c>
      <c r="Y43">
        <f t="shared" si="17"/>
        <v>0.21999999999999997</v>
      </c>
      <c r="Z43">
        <f t="shared" si="17"/>
        <v>0.57999999999999996</v>
      </c>
      <c r="AA43">
        <f t="shared" si="17"/>
        <v>0.85999999999999988</v>
      </c>
      <c r="AB43">
        <f t="shared" si="17"/>
        <v>0.6</v>
      </c>
      <c r="AC43">
        <f t="shared" si="17"/>
        <v>0.42999999999999994</v>
      </c>
      <c r="AD43">
        <f t="shared" si="17"/>
        <v>0.43999999999999995</v>
      </c>
      <c r="AE43">
        <f t="shared" si="17"/>
        <v>0.42</v>
      </c>
      <c r="AF43">
        <f t="shared" si="17"/>
        <v>0.39999999999999997</v>
      </c>
      <c r="AG43">
        <f t="shared" si="17"/>
        <v>0.42</v>
      </c>
      <c r="AH43">
        <f t="shared" si="17"/>
        <v>0.72999999999999987</v>
      </c>
      <c r="AI43">
        <f t="shared" si="17"/>
        <v>0.72999999999999987</v>
      </c>
    </row>
    <row r="44" spans="2:35" x14ac:dyDescent="0.15">
      <c r="B44">
        <v>2009</v>
      </c>
      <c r="C44">
        <v>1E-3</v>
      </c>
      <c r="D44">
        <v>4.0000000000000001E-3</v>
      </c>
      <c r="E44">
        <v>3.3000000000000002E-2</v>
      </c>
      <c r="F44">
        <v>2.4E-2</v>
      </c>
      <c r="G44">
        <v>3.9E-2</v>
      </c>
      <c r="H44">
        <v>0.09</v>
      </c>
      <c r="I44">
        <v>2.5000000000000001E-2</v>
      </c>
      <c r="J44">
        <v>2.8000000000000001E-2</v>
      </c>
      <c r="K44">
        <v>5.7000000000000002E-2</v>
      </c>
      <c r="L44">
        <v>5.3999999999999999E-2</v>
      </c>
      <c r="M44">
        <v>4.2000000000000003E-2</v>
      </c>
      <c r="N44">
        <v>3.6999999999999998E-2</v>
      </c>
      <c r="O44">
        <v>4.1000000000000002E-2</v>
      </c>
      <c r="P44">
        <v>0.05</v>
      </c>
      <c r="Q44">
        <v>7.6999999999999999E-2</v>
      </c>
      <c r="R44">
        <v>7.6999999999999999E-2</v>
      </c>
      <c r="T44">
        <f t="shared" si="17"/>
        <v>1.1111111111111112E-2</v>
      </c>
      <c r="U44">
        <f t="shared" si="17"/>
        <v>4.4444444444444446E-2</v>
      </c>
      <c r="V44">
        <f t="shared" si="17"/>
        <v>0.3666666666666667</v>
      </c>
      <c r="W44">
        <f t="shared" si="17"/>
        <v>0.26666666666666666</v>
      </c>
      <c r="X44">
        <f t="shared" si="17"/>
        <v>0.43333333333333335</v>
      </c>
      <c r="Y44">
        <f t="shared" si="17"/>
        <v>1</v>
      </c>
      <c r="Z44">
        <f t="shared" si="17"/>
        <v>0.27777777777777779</v>
      </c>
      <c r="AA44">
        <f t="shared" si="17"/>
        <v>0.31111111111111112</v>
      </c>
      <c r="AB44">
        <f t="shared" si="17"/>
        <v>0.63333333333333341</v>
      </c>
      <c r="AC44">
        <f t="shared" si="17"/>
        <v>0.6</v>
      </c>
      <c r="AD44">
        <f t="shared" si="17"/>
        <v>0.46666666666666673</v>
      </c>
      <c r="AE44">
        <f t="shared" si="17"/>
        <v>0.41111111111111109</v>
      </c>
      <c r="AF44">
        <f t="shared" si="17"/>
        <v>0.4555555555555556</v>
      </c>
      <c r="AG44">
        <f t="shared" si="17"/>
        <v>0.55555555555555558</v>
      </c>
      <c r="AH44">
        <f t="shared" si="17"/>
        <v>0.85555555555555562</v>
      </c>
      <c r="AI44">
        <f t="shared" si="17"/>
        <v>0.85555555555555562</v>
      </c>
    </row>
    <row r="45" spans="2:35" x14ac:dyDescent="0.15">
      <c r="B45">
        <v>2010</v>
      </c>
      <c r="C45">
        <v>1E-3</v>
      </c>
      <c r="D45">
        <v>2.1000000000000001E-2</v>
      </c>
      <c r="E45">
        <v>1.6E-2</v>
      </c>
      <c r="F45">
        <v>3.3000000000000002E-2</v>
      </c>
      <c r="G45">
        <v>1.4999999999999999E-2</v>
      </c>
      <c r="H45">
        <v>0.03</v>
      </c>
      <c r="I45">
        <v>1.7000000000000001E-2</v>
      </c>
      <c r="J45">
        <v>3.5999999999999997E-2</v>
      </c>
      <c r="K45">
        <v>3.4000000000000002E-2</v>
      </c>
      <c r="L45">
        <v>7.0999999999999994E-2</v>
      </c>
      <c r="M45">
        <v>8.3000000000000004E-2</v>
      </c>
      <c r="N45">
        <v>4.4999999999999998E-2</v>
      </c>
      <c r="O45">
        <v>4.1000000000000002E-2</v>
      </c>
      <c r="P45">
        <v>6.5000000000000002E-2</v>
      </c>
      <c r="Q45">
        <v>7.4999999999999997E-2</v>
      </c>
      <c r="R45">
        <v>7.4999999999999997E-2</v>
      </c>
      <c r="T45">
        <f t="shared" si="17"/>
        <v>1.2048192771084336E-2</v>
      </c>
      <c r="U45">
        <f t="shared" si="17"/>
        <v>0.25301204819277107</v>
      </c>
      <c r="V45">
        <f t="shared" si="17"/>
        <v>0.19277108433734938</v>
      </c>
      <c r="W45">
        <f t="shared" si="17"/>
        <v>0.39759036144578314</v>
      </c>
      <c r="X45">
        <f t="shared" si="17"/>
        <v>0.18072289156626503</v>
      </c>
      <c r="Y45">
        <f t="shared" si="17"/>
        <v>0.36144578313253006</v>
      </c>
      <c r="Z45">
        <f t="shared" si="17"/>
        <v>0.20481927710843373</v>
      </c>
      <c r="AA45">
        <f t="shared" si="17"/>
        <v>0.4337349397590361</v>
      </c>
      <c r="AB45">
        <f t="shared" si="17"/>
        <v>0.40963855421686746</v>
      </c>
      <c r="AC45">
        <f t="shared" si="17"/>
        <v>0.85542168674698782</v>
      </c>
      <c r="AD45">
        <f t="shared" si="17"/>
        <v>1</v>
      </c>
      <c r="AE45">
        <f t="shared" si="17"/>
        <v>0.54216867469879515</v>
      </c>
      <c r="AF45">
        <f t="shared" si="17"/>
        <v>0.49397590361445781</v>
      </c>
      <c r="AG45">
        <f t="shared" si="17"/>
        <v>0.7831325301204819</v>
      </c>
      <c r="AH45">
        <f t="shared" si="17"/>
        <v>0.90361445783132521</v>
      </c>
      <c r="AI45">
        <f t="shared" si="17"/>
        <v>0.90361445783132521</v>
      </c>
    </row>
    <row r="46" spans="2:35" x14ac:dyDescent="0.15">
      <c r="B46">
        <v>2011</v>
      </c>
      <c r="C46">
        <v>0</v>
      </c>
      <c r="D46">
        <v>8.9999999999999993E-3</v>
      </c>
      <c r="E46">
        <v>3.5999999999999997E-2</v>
      </c>
      <c r="F46">
        <v>3.5999999999999997E-2</v>
      </c>
      <c r="G46">
        <v>4.3999999999999997E-2</v>
      </c>
      <c r="H46">
        <v>3.5000000000000003E-2</v>
      </c>
      <c r="I46">
        <v>3.1E-2</v>
      </c>
      <c r="J46">
        <v>8.1000000000000003E-2</v>
      </c>
      <c r="K46">
        <v>0.05</v>
      </c>
      <c r="L46">
        <v>3.5000000000000003E-2</v>
      </c>
      <c r="M46">
        <v>5.3999999999999999E-2</v>
      </c>
      <c r="N46">
        <v>5.7000000000000002E-2</v>
      </c>
      <c r="O46">
        <v>4.7E-2</v>
      </c>
      <c r="P46">
        <v>4.9000000000000002E-2</v>
      </c>
      <c r="Q46">
        <v>6.3E-2</v>
      </c>
      <c r="R46">
        <v>6.3E-2</v>
      </c>
      <c r="T46">
        <f t="shared" si="17"/>
        <v>0</v>
      </c>
      <c r="U46">
        <f t="shared" si="17"/>
        <v>0.1111111111111111</v>
      </c>
      <c r="V46">
        <f t="shared" si="17"/>
        <v>0.44444444444444442</v>
      </c>
      <c r="W46">
        <f t="shared" si="17"/>
        <v>0.44444444444444442</v>
      </c>
      <c r="X46">
        <f t="shared" si="17"/>
        <v>0.54320987654320985</v>
      </c>
      <c r="Y46">
        <f t="shared" si="17"/>
        <v>0.4320987654320988</v>
      </c>
      <c r="Z46">
        <f t="shared" si="17"/>
        <v>0.38271604938271603</v>
      </c>
      <c r="AA46">
        <f t="shared" si="17"/>
        <v>1</v>
      </c>
      <c r="AB46">
        <f t="shared" si="17"/>
        <v>0.61728395061728392</v>
      </c>
      <c r="AC46">
        <f t="shared" si="17"/>
        <v>0.4320987654320988</v>
      </c>
      <c r="AD46">
        <f t="shared" si="17"/>
        <v>0.66666666666666663</v>
      </c>
      <c r="AE46">
        <f t="shared" si="17"/>
        <v>0.70370370370370372</v>
      </c>
      <c r="AF46">
        <f t="shared" si="17"/>
        <v>0.58024691358024694</v>
      </c>
      <c r="AG46">
        <f t="shared" si="17"/>
        <v>0.60493827160493829</v>
      </c>
      <c r="AH46">
        <f t="shared" si="17"/>
        <v>0.77777777777777779</v>
      </c>
      <c r="AI46">
        <f t="shared" si="17"/>
        <v>0.77777777777777779</v>
      </c>
    </row>
    <row r="47" spans="2:35" x14ac:dyDescent="0.15">
      <c r="B47">
        <v>2012</v>
      </c>
      <c r="C47">
        <v>1E-3</v>
      </c>
      <c r="D47">
        <v>1.2999999999999999E-2</v>
      </c>
      <c r="E47">
        <v>3.4000000000000002E-2</v>
      </c>
      <c r="F47">
        <v>3.2000000000000001E-2</v>
      </c>
      <c r="G47">
        <v>1.2E-2</v>
      </c>
      <c r="H47">
        <v>1.4999999999999999E-2</v>
      </c>
      <c r="I47">
        <v>2.3E-2</v>
      </c>
      <c r="J47">
        <v>4.8000000000000001E-2</v>
      </c>
      <c r="K47">
        <v>4.3999999999999997E-2</v>
      </c>
      <c r="L47">
        <v>4.4999999999999998E-2</v>
      </c>
      <c r="M47">
        <v>7.6999999999999999E-2</v>
      </c>
      <c r="N47">
        <v>0.05</v>
      </c>
      <c r="O47">
        <v>5.6000000000000001E-2</v>
      </c>
      <c r="P47">
        <v>4.1000000000000002E-2</v>
      </c>
      <c r="Q47">
        <v>5.7000000000000002E-2</v>
      </c>
      <c r="R47">
        <v>5.7000000000000002E-2</v>
      </c>
      <c r="T47">
        <f t="shared" si="17"/>
        <v>1.2987012987012988E-2</v>
      </c>
      <c r="U47">
        <f t="shared" si="17"/>
        <v>0.16883116883116883</v>
      </c>
      <c r="V47">
        <f t="shared" si="17"/>
        <v>0.44155844155844159</v>
      </c>
      <c r="W47">
        <f t="shared" si="17"/>
        <v>0.41558441558441561</v>
      </c>
      <c r="X47">
        <f t="shared" si="17"/>
        <v>0.15584415584415584</v>
      </c>
      <c r="Y47">
        <f t="shared" si="17"/>
        <v>0.19480519480519479</v>
      </c>
      <c r="Z47">
        <f t="shared" si="17"/>
        <v>0.29870129870129869</v>
      </c>
      <c r="AA47">
        <f t="shared" si="17"/>
        <v>0.62337662337662336</v>
      </c>
      <c r="AB47">
        <f t="shared" si="17"/>
        <v>0.5714285714285714</v>
      </c>
      <c r="AC47">
        <f t="shared" si="17"/>
        <v>0.58441558441558439</v>
      </c>
      <c r="AD47">
        <f t="shared" si="17"/>
        <v>1</v>
      </c>
      <c r="AE47">
        <f t="shared" si="17"/>
        <v>0.64935064935064934</v>
      </c>
      <c r="AF47">
        <f t="shared" si="17"/>
        <v>0.72727272727272729</v>
      </c>
      <c r="AG47">
        <f t="shared" si="17"/>
        <v>0.53246753246753253</v>
      </c>
      <c r="AH47">
        <f t="shared" si="17"/>
        <v>0.74025974025974028</v>
      </c>
      <c r="AI47">
        <f t="shared" si="17"/>
        <v>0.74025974025974028</v>
      </c>
    </row>
    <row r="48" spans="2:35" x14ac:dyDescent="0.15">
      <c r="B48">
        <v>2013</v>
      </c>
      <c r="C48">
        <v>1E-3</v>
      </c>
      <c r="D48">
        <v>2E-3</v>
      </c>
      <c r="E48">
        <v>2.1000000000000001E-2</v>
      </c>
      <c r="F48">
        <v>2.7E-2</v>
      </c>
      <c r="G48">
        <v>6.0000000000000001E-3</v>
      </c>
      <c r="H48">
        <v>1.7000000000000001E-2</v>
      </c>
      <c r="I48">
        <v>1.7999999999999999E-2</v>
      </c>
      <c r="J48">
        <v>3.6999999999999998E-2</v>
      </c>
      <c r="K48">
        <v>4.8000000000000001E-2</v>
      </c>
      <c r="L48">
        <v>2.5000000000000001E-2</v>
      </c>
      <c r="M48">
        <v>3.1E-2</v>
      </c>
      <c r="N48">
        <v>6.5000000000000002E-2</v>
      </c>
      <c r="O48">
        <v>6.5000000000000002E-2</v>
      </c>
      <c r="P48">
        <v>4.8000000000000001E-2</v>
      </c>
      <c r="Q48">
        <v>4.3999999999999997E-2</v>
      </c>
      <c r="R48">
        <v>4.3999999999999997E-2</v>
      </c>
      <c r="T48">
        <f t="shared" si="17"/>
        <v>1.5384615384615384E-2</v>
      </c>
      <c r="U48">
        <f t="shared" si="17"/>
        <v>3.0769230769230767E-2</v>
      </c>
      <c r="V48">
        <f t="shared" si="17"/>
        <v>0.32307692307692309</v>
      </c>
      <c r="W48">
        <f t="shared" si="17"/>
        <v>0.41538461538461535</v>
      </c>
      <c r="X48">
        <f t="shared" si="17"/>
        <v>9.2307692307692313E-2</v>
      </c>
      <c r="Y48">
        <f t="shared" si="17"/>
        <v>0.26153846153846155</v>
      </c>
      <c r="Z48">
        <f t="shared" si="17"/>
        <v>0.27692307692307688</v>
      </c>
      <c r="AA48">
        <f t="shared" si="17"/>
        <v>0.56923076923076921</v>
      </c>
      <c r="AB48">
        <f t="shared" si="17"/>
        <v>0.7384615384615385</v>
      </c>
      <c r="AC48">
        <f t="shared" si="17"/>
        <v>0.38461538461538464</v>
      </c>
      <c r="AD48">
        <f t="shared" si="17"/>
        <v>0.47692307692307689</v>
      </c>
      <c r="AE48">
        <f t="shared" si="17"/>
        <v>1</v>
      </c>
      <c r="AF48">
        <f t="shared" si="17"/>
        <v>1</v>
      </c>
      <c r="AG48">
        <f t="shared" si="17"/>
        <v>0.7384615384615385</v>
      </c>
      <c r="AH48">
        <f t="shared" si="17"/>
        <v>0.67692307692307685</v>
      </c>
      <c r="AI48">
        <f t="shared" si="17"/>
        <v>0.67692307692307685</v>
      </c>
    </row>
    <row r="50" spans="2:35" x14ac:dyDescent="0.15">
      <c r="B50" t="s">
        <v>146</v>
      </c>
      <c r="C50">
        <f>AVERAGE(C5:C48)</f>
        <v>4.0590909090909053E-2</v>
      </c>
      <c r="D50">
        <f t="shared" ref="D50:R50" si="18">AVERAGE(D5:D48)</f>
        <v>0.14434090909090902</v>
      </c>
      <c r="E50">
        <f t="shared" si="18"/>
        <v>0.16009090909090912</v>
      </c>
      <c r="F50">
        <f t="shared" si="18"/>
        <v>0.10949999999999999</v>
      </c>
      <c r="G50">
        <f t="shared" si="18"/>
        <v>7.5136363636363654E-2</v>
      </c>
      <c r="H50">
        <f t="shared" si="18"/>
        <v>6.1772727272727271E-2</v>
      </c>
      <c r="I50">
        <f t="shared" si="18"/>
        <v>4.793181818181818E-2</v>
      </c>
      <c r="J50">
        <f t="shared" si="18"/>
        <v>6.1772727272727271E-2</v>
      </c>
      <c r="K50">
        <f t="shared" si="18"/>
        <v>6.7818181818181833E-2</v>
      </c>
      <c r="L50">
        <f t="shared" si="18"/>
        <v>7.1727272727272737E-2</v>
      </c>
      <c r="M50">
        <f t="shared" si="18"/>
        <v>7.3068181818181852E-2</v>
      </c>
      <c r="N50">
        <f t="shared" si="18"/>
        <v>8.052272727272726E-2</v>
      </c>
      <c r="O50">
        <f t="shared" si="18"/>
        <v>9.6363636363636374E-2</v>
      </c>
      <c r="P50">
        <f t="shared" si="18"/>
        <v>0.11279545454545457</v>
      </c>
      <c r="Q50">
        <f t="shared" si="18"/>
        <v>0.13352272727272729</v>
      </c>
      <c r="R50">
        <f t="shared" si="18"/>
        <v>0.13352272727272729</v>
      </c>
      <c r="T50">
        <f t="shared" si="17"/>
        <v>0.25354911981828476</v>
      </c>
      <c r="U50">
        <f t="shared" ref="U50:AI51" si="19">D50/MAX($C50:$R50)</f>
        <v>0.90161839863713744</v>
      </c>
      <c r="V50">
        <f t="shared" si="19"/>
        <v>1</v>
      </c>
      <c r="W50">
        <f t="shared" si="19"/>
        <v>0.6839863713798976</v>
      </c>
      <c r="X50">
        <f t="shared" si="19"/>
        <v>0.46933560477001707</v>
      </c>
      <c r="Y50">
        <f t="shared" si="19"/>
        <v>0.38586030664395221</v>
      </c>
      <c r="Z50">
        <f t="shared" si="19"/>
        <v>0.29940374787052804</v>
      </c>
      <c r="AA50">
        <f t="shared" si="19"/>
        <v>0.38586030664395221</v>
      </c>
      <c r="AB50">
        <f t="shared" si="19"/>
        <v>0.42362294151050539</v>
      </c>
      <c r="AC50">
        <f t="shared" si="19"/>
        <v>0.4480408858603066</v>
      </c>
      <c r="AD50">
        <f t="shared" si="19"/>
        <v>0.45641680863145956</v>
      </c>
      <c r="AE50">
        <f t="shared" si="19"/>
        <v>0.50298126064735926</v>
      </c>
      <c r="AF50">
        <f t="shared" si="19"/>
        <v>0.60193072118114699</v>
      </c>
      <c r="AG50">
        <f t="shared" si="19"/>
        <v>0.70457126632595124</v>
      </c>
      <c r="AH50">
        <f t="shared" si="19"/>
        <v>0.8340431572969903</v>
      </c>
      <c r="AI50">
        <f t="shared" si="19"/>
        <v>0.8340431572969903</v>
      </c>
    </row>
    <row r="51" spans="2:35" x14ac:dyDescent="0.15">
      <c r="B51" t="s">
        <v>147</v>
      </c>
      <c r="C51">
        <f>AVERAGE(C22:C48)</f>
        <v>1.0000000000000002E-2</v>
      </c>
      <c r="D51">
        <f t="shared" ref="D51:R51" si="20">AVERAGE(D22:D48)</f>
        <v>4.3333333333333314E-2</v>
      </c>
      <c r="E51">
        <f t="shared" si="20"/>
        <v>6.7777777777777784E-2</v>
      </c>
      <c r="F51">
        <f t="shared" si="20"/>
        <v>5.4851851851851846E-2</v>
      </c>
      <c r="G51">
        <f t="shared" si="20"/>
        <v>5.2370370370370366E-2</v>
      </c>
      <c r="H51">
        <f t="shared" si="20"/>
        <v>5.3259259259259256E-2</v>
      </c>
      <c r="I51">
        <f t="shared" si="20"/>
        <v>4.5111111111111116E-2</v>
      </c>
      <c r="J51">
        <f t="shared" si="20"/>
        <v>6.8444444444444447E-2</v>
      </c>
      <c r="K51">
        <f t="shared" si="20"/>
        <v>7.8851851851851854E-2</v>
      </c>
      <c r="L51">
        <f t="shared" si="20"/>
        <v>8.5629629629629639E-2</v>
      </c>
      <c r="M51">
        <f t="shared" si="20"/>
        <v>8.6259259259259272E-2</v>
      </c>
      <c r="N51">
        <f t="shared" si="20"/>
        <v>9.1259259259259248E-2</v>
      </c>
      <c r="O51">
        <f t="shared" si="20"/>
        <v>9.9888888888888902E-2</v>
      </c>
      <c r="P51">
        <f t="shared" si="20"/>
        <v>0.10918518518518515</v>
      </c>
      <c r="Q51">
        <f t="shared" si="20"/>
        <v>0.12481481481481481</v>
      </c>
      <c r="R51">
        <f t="shared" si="20"/>
        <v>0.12481481481481481</v>
      </c>
      <c r="T51">
        <f>C51/MAX($C51:$R51)</f>
        <v>8.0118694362017823E-2</v>
      </c>
      <c r="U51">
        <f t="shared" si="19"/>
        <v>0.34718100890207704</v>
      </c>
      <c r="V51">
        <f t="shared" si="19"/>
        <v>0.5430267062314541</v>
      </c>
      <c r="W51">
        <f t="shared" si="19"/>
        <v>0.43946587537091986</v>
      </c>
      <c r="X51">
        <f t="shared" si="19"/>
        <v>0.41958456973293767</v>
      </c>
      <c r="Y51">
        <f t="shared" si="19"/>
        <v>0.42670623145400594</v>
      </c>
      <c r="Z51">
        <f t="shared" si="19"/>
        <v>0.36142433234421373</v>
      </c>
      <c r="AA51">
        <f t="shared" si="19"/>
        <v>0.54836795252225523</v>
      </c>
      <c r="AB51">
        <f t="shared" si="19"/>
        <v>0.63175074183976265</v>
      </c>
      <c r="AC51">
        <f t="shared" si="19"/>
        <v>0.68605341246290807</v>
      </c>
      <c r="AD51">
        <f t="shared" si="19"/>
        <v>0.69109792284866478</v>
      </c>
      <c r="AE51">
        <f t="shared" si="19"/>
        <v>0.73115727002967357</v>
      </c>
      <c r="AF51">
        <f t="shared" si="19"/>
        <v>0.80029673590504469</v>
      </c>
      <c r="AG51">
        <f t="shared" si="19"/>
        <v>0.87477744807121638</v>
      </c>
      <c r="AH51">
        <f t="shared" si="19"/>
        <v>1</v>
      </c>
      <c r="AI51">
        <f t="shared" si="19"/>
        <v>1</v>
      </c>
    </row>
  </sheetData>
  <phoneticPr fontId="3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32" sqref="C32"/>
    </sheetView>
  </sheetViews>
  <sheetFormatPr defaultRowHeight="13.5" x14ac:dyDescent="0.15"/>
  <sheetData>
    <row r="1" spans="1:4" x14ac:dyDescent="0.15">
      <c r="B1" s="205" t="s">
        <v>191</v>
      </c>
      <c r="C1" s="205" t="s">
        <v>193</v>
      </c>
      <c r="D1" s="205" t="s">
        <v>192</v>
      </c>
    </row>
    <row r="2" spans="1:4" x14ac:dyDescent="0.15">
      <c r="A2">
        <v>0</v>
      </c>
      <c r="B2">
        <v>0.35</v>
      </c>
      <c r="C2">
        <v>0.4</v>
      </c>
      <c r="D2">
        <v>0.5</v>
      </c>
    </row>
    <row r="3" spans="1:4" x14ac:dyDescent="0.15">
      <c r="A3">
        <v>1</v>
      </c>
      <c r="B3">
        <v>0.35</v>
      </c>
      <c r="C3">
        <v>0.4</v>
      </c>
      <c r="D3">
        <v>0.5</v>
      </c>
    </row>
    <row r="4" spans="1:4" x14ac:dyDescent="0.15">
      <c r="A4">
        <v>2</v>
      </c>
      <c r="B4">
        <v>0.205399</v>
      </c>
      <c r="C4">
        <v>0.248144</v>
      </c>
      <c r="D4">
        <v>0.27484599999999998</v>
      </c>
    </row>
    <row r="5" spans="1:4" x14ac:dyDescent="0.15">
      <c r="A5">
        <v>3</v>
      </c>
      <c r="B5">
        <v>0.17612800000000001</v>
      </c>
      <c r="C5">
        <v>0.207649</v>
      </c>
      <c r="D5">
        <v>0.22822300000000001</v>
      </c>
    </row>
    <row r="6" spans="1:4" x14ac:dyDescent="0.15">
      <c r="A6">
        <v>4</v>
      </c>
      <c r="B6">
        <v>0.15754599999999999</v>
      </c>
      <c r="C6">
        <v>0.17752699999999999</v>
      </c>
      <c r="D6">
        <v>0.19189000000000001</v>
      </c>
    </row>
    <row r="7" spans="1:4" x14ac:dyDescent="0.15">
      <c r="A7">
        <v>5</v>
      </c>
      <c r="B7">
        <v>0.143515</v>
      </c>
      <c r="C7">
        <v>0.15246399999999999</v>
      </c>
      <c r="D7">
        <v>0.16217899999999999</v>
      </c>
    </row>
    <row r="8" spans="1:4" x14ac:dyDescent="0.15">
      <c r="A8">
        <v>6</v>
      </c>
      <c r="B8">
        <v>0.12710299999999999</v>
      </c>
      <c r="C8">
        <v>0.13342399999999999</v>
      </c>
      <c r="D8">
        <v>0.14039460000000001</v>
      </c>
    </row>
    <row r="9" spans="1:4" x14ac:dyDescent="0.15">
      <c r="A9">
        <v>7</v>
      </c>
      <c r="B9">
        <v>0.10568</v>
      </c>
      <c r="C9">
        <v>0.114909</v>
      </c>
      <c r="D9">
        <v>0.126945</v>
      </c>
    </row>
    <row r="10" spans="1:4" x14ac:dyDescent="0.15">
      <c r="A10">
        <v>8</v>
      </c>
      <c r="B10">
        <v>8.5488300000000003E-2</v>
      </c>
      <c r="C10">
        <v>9.9388000000000004E-2</v>
      </c>
      <c r="D10">
        <v>0.11699900000000001</v>
      </c>
    </row>
    <row r="11" spans="1:4" x14ac:dyDescent="0.15">
      <c r="A11">
        <v>9</v>
      </c>
      <c r="B11">
        <v>6.7087900000000006E-2</v>
      </c>
      <c r="C11">
        <v>8.6634199999999995E-2</v>
      </c>
      <c r="D11">
        <v>0.10809000000000001</v>
      </c>
    </row>
    <row r="12" spans="1:4" x14ac:dyDescent="0.15">
      <c r="A12">
        <v>10</v>
      </c>
      <c r="B12">
        <v>0.05</v>
      </c>
      <c r="C12">
        <v>7.4999999999999997E-2</v>
      </c>
      <c r="D12">
        <v>0.1</v>
      </c>
    </row>
    <row r="13" spans="1:4" x14ac:dyDescent="0.15">
      <c r="A13">
        <v>11</v>
      </c>
      <c r="B13">
        <v>0.05</v>
      </c>
      <c r="C13">
        <v>7.4999999999999997E-2</v>
      </c>
      <c r="D13">
        <v>0.1</v>
      </c>
    </row>
    <row r="14" spans="1:4" x14ac:dyDescent="0.15">
      <c r="A14">
        <v>12</v>
      </c>
      <c r="B14">
        <v>0.05</v>
      </c>
      <c r="C14">
        <v>7.4999999999999997E-2</v>
      </c>
      <c r="D14">
        <v>0.1</v>
      </c>
    </row>
    <row r="15" spans="1:4" x14ac:dyDescent="0.15">
      <c r="A15">
        <v>13</v>
      </c>
      <c r="B15">
        <v>0.05</v>
      </c>
      <c r="C15">
        <v>7.4999999999999997E-2</v>
      </c>
      <c r="D15">
        <v>0.1</v>
      </c>
    </row>
    <row r="16" spans="1:4" x14ac:dyDescent="0.15">
      <c r="A16">
        <v>14</v>
      </c>
      <c r="B16">
        <v>0.05</v>
      </c>
      <c r="C16">
        <v>7.4999999999999997E-2</v>
      </c>
      <c r="D16">
        <v>0.1</v>
      </c>
    </row>
    <row r="17" spans="1:4" x14ac:dyDescent="0.15">
      <c r="A17">
        <v>15</v>
      </c>
      <c r="B17">
        <v>0.05</v>
      </c>
      <c r="C17">
        <v>7.4999999999999997E-2</v>
      </c>
      <c r="D17">
        <v>0.1</v>
      </c>
    </row>
    <row r="18" spans="1:4" x14ac:dyDescent="0.15">
      <c r="A18">
        <v>16</v>
      </c>
      <c r="B18">
        <v>0.05</v>
      </c>
      <c r="C18">
        <v>7.4999999999999997E-2</v>
      </c>
      <c r="D18">
        <v>0.1</v>
      </c>
    </row>
    <row r="19" spans="1:4" x14ac:dyDescent="0.15">
      <c r="A19">
        <v>17</v>
      </c>
      <c r="B19">
        <v>0.05</v>
      </c>
      <c r="C19">
        <v>7.4999999999999997E-2</v>
      </c>
      <c r="D19">
        <v>0.1</v>
      </c>
    </row>
    <row r="20" spans="1:4" x14ac:dyDescent="0.15">
      <c r="A20">
        <v>18</v>
      </c>
      <c r="B20">
        <v>0.05</v>
      </c>
      <c r="C20">
        <v>7.4999999999999997E-2</v>
      </c>
      <c r="D20">
        <v>0.1</v>
      </c>
    </row>
    <row r="21" spans="1:4" x14ac:dyDescent="0.15">
      <c r="A21">
        <v>19</v>
      </c>
      <c r="B21">
        <v>0.05</v>
      </c>
      <c r="C21">
        <v>7.4999999999999997E-2</v>
      </c>
      <c r="D21">
        <v>0.1</v>
      </c>
    </row>
    <row r="22" spans="1:4" x14ac:dyDescent="0.15">
      <c r="A22">
        <v>20</v>
      </c>
      <c r="B22">
        <v>0.05</v>
      </c>
      <c r="C22">
        <v>7.4999999999999997E-2</v>
      </c>
      <c r="D22">
        <v>0.1</v>
      </c>
    </row>
    <row r="23" spans="1:4" x14ac:dyDescent="0.15">
      <c r="A23">
        <v>21</v>
      </c>
      <c r="B23">
        <v>0.05</v>
      </c>
      <c r="C23">
        <v>7.4999999999999997E-2</v>
      </c>
      <c r="D23">
        <v>0.1</v>
      </c>
    </row>
    <row r="24" spans="1:4" x14ac:dyDescent="0.15">
      <c r="A24">
        <v>22</v>
      </c>
      <c r="B24">
        <v>0.05</v>
      </c>
      <c r="C24">
        <v>7.4999999999999997E-2</v>
      </c>
      <c r="D24">
        <v>0.1</v>
      </c>
    </row>
    <row r="25" spans="1:4" x14ac:dyDescent="0.15">
      <c r="A25">
        <v>23</v>
      </c>
      <c r="B25">
        <v>0.05</v>
      </c>
      <c r="C25">
        <v>7.4999999999999997E-2</v>
      </c>
      <c r="D25">
        <v>0.1</v>
      </c>
    </row>
    <row r="26" spans="1:4" x14ac:dyDescent="0.15">
      <c r="A26">
        <v>24</v>
      </c>
      <c r="B26">
        <v>0.05</v>
      </c>
      <c r="C26">
        <v>7.4999999999999997E-2</v>
      </c>
      <c r="D26">
        <v>0.1</v>
      </c>
    </row>
    <row r="27" spans="1:4" x14ac:dyDescent="0.15">
      <c r="A27">
        <v>25</v>
      </c>
      <c r="B27">
        <v>0.05</v>
      </c>
      <c r="C27">
        <v>7.4999999999999997E-2</v>
      </c>
      <c r="D27">
        <v>0.1</v>
      </c>
    </row>
    <row r="28" spans="1:4" x14ac:dyDescent="0.15">
      <c r="A28">
        <v>26</v>
      </c>
      <c r="B28">
        <v>0.13556799999999999</v>
      </c>
      <c r="C28">
        <v>0.151674</v>
      </c>
      <c r="D28">
        <v>0.17080500000000001</v>
      </c>
    </row>
    <row r="29" spans="1:4" x14ac:dyDescent="0.15">
      <c r="A29">
        <v>27</v>
      </c>
      <c r="B29">
        <v>0.221135</v>
      </c>
      <c r="C29">
        <v>0.229824</v>
      </c>
      <c r="D29">
        <v>0.23983399999999999</v>
      </c>
    </row>
    <row r="30" spans="1:4" x14ac:dyDescent="0.15">
      <c r="A30">
        <v>28</v>
      </c>
      <c r="B30">
        <v>0.30013000000000001</v>
      </c>
      <c r="C30">
        <v>0.30963600000000002</v>
      </c>
      <c r="D30">
        <v>0.31722</v>
      </c>
    </row>
    <row r="31" spans="1:4" x14ac:dyDescent="0.15">
      <c r="A31">
        <v>29</v>
      </c>
      <c r="B31">
        <v>0.37051299999999998</v>
      </c>
      <c r="C31">
        <v>0.38914599999999999</v>
      </c>
      <c r="D31">
        <v>0.40359200000000001</v>
      </c>
    </row>
    <row r="32" spans="1:4" x14ac:dyDescent="0.15">
      <c r="A32">
        <v>30</v>
      </c>
      <c r="B32">
        <v>0.43737169999999997</v>
      </c>
      <c r="C32">
        <v>0.47126499999999999</v>
      </c>
      <c r="D32">
        <v>0.49199100000000001</v>
      </c>
    </row>
  </sheetData>
  <phoneticPr fontId="37"/>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6"/>
  <sheetViews>
    <sheetView zoomScale="70" zoomScaleNormal="70" workbookViewId="0">
      <selection activeCell="N17" sqref="N17:N18"/>
    </sheetView>
  </sheetViews>
  <sheetFormatPr defaultRowHeight="15" x14ac:dyDescent="0.25"/>
  <cols>
    <col min="1" max="1" width="16.875" customWidth="1"/>
    <col min="2" max="2" width="15.875" customWidth="1"/>
    <col min="3" max="3" width="12.75" customWidth="1"/>
    <col min="4" max="4" width="12.75" style="42" customWidth="1"/>
    <col min="5" max="8" width="12.75" customWidth="1"/>
    <col min="9" max="9" width="16.75" customWidth="1"/>
    <col min="10" max="10" width="12.75" style="4" customWidth="1"/>
    <col min="13" max="13" width="14.125" customWidth="1"/>
    <col min="14" max="14" width="14.125" style="44" customWidth="1"/>
    <col min="15" max="15" width="16.875" style="46" customWidth="1"/>
    <col min="16" max="16" width="11" style="45" customWidth="1"/>
  </cols>
  <sheetData>
    <row r="1" spans="1:16" x14ac:dyDescent="0.25">
      <c r="A1" t="s">
        <v>155</v>
      </c>
      <c r="C1" s="2" t="s">
        <v>16</v>
      </c>
      <c r="D1" s="161"/>
      <c r="E1" s="2"/>
      <c r="G1" s="3" t="s">
        <v>17</v>
      </c>
      <c r="H1" s="3" t="s">
        <v>1</v>
      </c>
      <c r="I1" s="157">
        <v>3.5080100000000003E-5</v>
      </c>
      <c r="J1" s="42"/>
      <c r="K1" s="5" t="s">
        <v>18</v>
      </c>
      <c r="L1" s="6"/>
      <c r="M1" s="5">
        <v>35</v>
      </c>
      <c r="N1" s="43"/>
    </row>
    <row r="2" spans="1:16" x14ac:dyDescent="0.25">
      <c r="A2" t="s">
        <v>153</v>
      </c>
      <c r="B2">
        <v>0</v>
      </c>
      <c r="C2" s="8" t="s">
        <v>19</v>
      </c>
      <c r="D2" s="162"/>
      <c r="E2" s="11">
        <v>3</v>
      </c>
      <c r="F2" s="9"/>
      <c r="G2" s="10"/>
      <c r="H2" s="3" t="s">
        <v>2</v>
      </c>
      <c r="I2" s="157">
        <v>2.8784510000000001</v>
      </c>
      <c r="K2" s="5" t="s">
        <v>20</v>
      </c>
      <c r="L2" s="6"/>
      <c r="M2" s="5">
        <v>10</v>
      </c>
      <c r="N2" s="43"/>
      <c r="O2" s="180" t="s">
        <v>180</v>
      </c>
      <c r="P2" s="181">
        <v>20</v>
      </c>
    </row>
    <row r="3" spans="1:16" ht="14.25" x14ac:dyDescent="0.2">
      <c r="A3" t="s">
        <v>154</v>
      </c>
      <c r="B3">
        <v>34</v>
      </c>
      <c r="C3" s="8" t="s">
        <v>21</v>
      </c>
      <c r="D3" s="162"/>
      <c r="E3" s="11">
        <v>-0.28799999999999998</v>
      </c>
      <c r="F3" s="7"/>
      <c r="G3" s="10"/>
      <c r="H3" s="3" t="s">
        <v>22</v>
      </c>
      <c r="I3" s="147">
        <v>270</v>
      </c>
      <c r="J3" t="s">
        <v>5</v>
      </c>
      <c r="K3" s="5" t="s">
        <v>23</v>
      </c>
      <c r="L3" s="6"/>
      <c r="M3" s="5">
        <v>35</v>
      </c>
      <c r="N3" s="43"/>
      <c r="O3" s="182" t="s">
        <v>181</v>
      </c>
      <c r="P3" s="183">
        <f t="shared" ref="P3" si="0">target_M</f>
        <v>0.1</v>
      </c>
    </row>
    <row r="4" spans="1:16" ht="14.25" x14ac:dyDescent="0.2">
      <c r="A4" t="s">
        <v>151</v>
      </c>
      <c r="B4">
        <v>33</v>
      </c>
      <c r="C4" s="8" t="s">
        <v>95</v>
      </c>
      <c r="D4" s="42" t="s">
        <v>5</v>
      </c>
      <c r="F4" s="7"/>
      <c r="G4" s="10"/>
      <c r="H4" s="3" t="s">
        <v>24</v>
      </c>
      <c r="I4" s="147">
        <v>0.22</v>
      </c>
      <c r="J4" t="s">
        <v>5</v>
      </c>
      <c r="K4" s="5" t="s">
        <v>15</v>
      </c>
      <c r="L4" s="6"/>
      <c r="M4" s="5">
        <v>0.5</v>
      </c>
      <c r="N4" s="43"/>
      <c r="O4" s="184" t="s">
        <v>182</v>
      </c>
      <c r="P4" s="185">
        <v>1</v>
      </c>
    </row>
    <row r="5" spans="1:16" ht="14.25" x14ac:dyDescent="0.2">
      <c r="A5" t="s">
        <v>152</v>
      </c>
      <c r="B5">
        <v>270.60000000000002</v>
      </c>
      <c r="C5" s="11" t="s">
        <v>8</v>
      </c>
      <c r="D5" s="163" t="s">
        <v>140</v>
      </c>
      <c r="E5" s="12"/>
      <c r="F5" s="7"/>
      <c r="G5" s="10"/>
      <c r="H5" s="3" t="s">
        <v>7</v>
      </c>
      <c r="I5" s="147">
        <v>-0.65</v>
      </c>
      <c r="J5" t="s">
        <v>5</v>
      </c>
      <c r="K5" s="5"/>
      <c r="L5" s="6"/>
      <c r="M5" s="5">
        <f>shift</f>
        <v>0.32854209445585214</v>
      </c>
      <c r="N5" s="43"/>
      <c r="O5" s="184" t="s">
        <v>183</v>
      </c>
      <c r="P5" s="183">
        <f t="shared" ref="P5" si="1">linf</f>
        <v>270</v>
      </c>
    </row>
    <row r="6" spans="1:16" ht="14.25" x14ac:dyDescent="0.2">
      <c r="A6" t="s">
        <v>150</v>
      </c>
      <c r="B6">
        <v>-0.12</v>
      </c>
      <c r="C6" s="11" t="s">
        <v>5</v>
      </c>
      <c r="D6" s="163"/>
      <c r="E6" s="12"/>
      <c r="F6" s="7"/>
      <c r="G6" s="13"/>
      <c r="H6" s="3" t="s">
        <v>25</v>
      </c>
      <c r="I6" s="156">
        <f>120/365.25</f>
        <v>0.32854209445585214</v>
      </c>
      <c r="L6" s="15" t="s">
        <v>139</v>
      </c>
      <c r="M6" s="40">
        <v>0.1</v>
      </c>
      <c r="N6" s="14" t="s">
        <v>5</v>
      </c>
      <c r="O6" s="184" t="s">
        <v>6</v>
      </c>
      <c r="P6" s="183">
        <f t="shared" ref="P6" si="2">k</f>
        <v>0.22</v>
      </c>
    </row>
    <row r="7" spans="1:16" x14ac:dyDescent="0.25">
      <c r="A7" t="s">
        <v>24</v>
      </c>
      <c r="B7">
        <v>0.22</v>
      </c>
      <c r="C7" s="11" t="s">
        <v>148</v>
      </c>
      <c r="D7" s="163" t="s">
        <v>5</v>
      </c>
      <c r="E7" s="12"/>
      <c r="F7" s="7" t="s">
        <v>5</v>
      </c>
      <c r="G7" t="s">
        <v>5</v>
      </c>
      <c r="H7" s="155"/>
      <c r="I7" s="147"/>
      <c r="N7" s="14" t="s">
        <v>5</v>
      </c>
      <c r="O7" s="46" t="s">
        <v>150</v>
      </c>
    </row>
    <row r="8" spans="1:16" ht="14.25" x14ac:dyDescent="0.2">
      <c r="A8" t="s">
        <v>160</v>
      </c>
      <c r="B8">
        <v>5.84</v>
      </c>
      <c r="C8" s="11"/>
      <c r="D8" s="163" t="s">
        <v>5</v>
      </c>
      <c r="E8" s="12"/>
      <c r="F8" s="7"/>
      <c r="K8" s="1" t="s">
        <v>5</v>
      </c>
      <c r="L8" s="1"/>
      <c r="M8" s="16" t="s">
        <v>5</v>
      </c>
      <c r="O8" s="184" t="s">
        <v>184</v>
      </c>
      <c r="P8" s="183">
        <f t="shared" ref="P8" si="3">t0</f>
        <v>-0.65</v>
      </c>
    </row>
    <row r="9" spans="1:16" x14ac:dyDescent="0.25">
      <c r="A9" t="s">
        <v>161</v>
      </c>
      <c r="B9">
        <v>0.06</v>
      </c>
      <c r="C9" s="17"/>
      <c r="D9" s="164"/>
      <c r="E9" s="18"/>
      <c r="F9" s="197"/>
      <c r="G9" s="198"/>
      <c r="H9" s="198"/>
      <c r="I9" s="198"/>
      <c r="J9" s="199"/>
      <c r="K9" s="7"/>
      <c r="L9" s="9"/>
      <c r="M9" s="9"/>
      <c r="N9" s="82"/>
      <c r="O9" s="184" t="s">
        <v>185</v>
      </c>
      <c r="P9" s="186">
        <f t="shared" ref="P9" si="4">P5*(EXP(P6)-1)</f>
        <v>66.440717258592812</v>
      </c>
    </row>
    <row r="10" spans="1:16" x14ac:dyDescent="0.25">
      <c r="C10" s="24" t="s">
        <v>30</v>
      </c>
      <c r="D10" s="165"/>
      <c r="E10" s="25" t="s">
        <v>31</v>
      </c>
      <c r="F10" s="197"/>
      <c r="G10" s="197"/>
      <c r="H10" s="197"/>
      <c r="I10" s="197"/>
      <c r="J10" s="200"/>
      <c r="K10" s="9"/>
      <c r="L10" s="9"/>
      <c r="M10" s="9"/>
      <c r="N10" s="103"/>
      <c r="O10" s="182" t="s">
        <v>186</v>
      </c>
      <c r="P10" s="186">
        <f xml:space="preserve"> (L1_^p+(L2_^p-L1_^p)*(1-EXP(-k*((P2+offset-shift)-A1_)))/(1-EXP(-k*(A2_-A1_))))^(1/p)</f>
        <v>263.41249326469494</v>
      </c>
    </row>
    <row r="11" spans="1:16" x14ac:dyDescent="0.25">
      <c r="C11" s="138"/>
      <c r="D11" s="166"/>
      <c r="E11" s="139"/>
      <c r="F11" s="197"/>
      <c r="G11" s="197"/>
      <c r="H11" s="197"/>
      <c r="I11" s="197"/>
      <c r="J11" s="200"/>
      <c r="K11" s="9"/>
      <c r="L11" s="9"/>
      <c r="M11" s="9" t="s">
        <v>5</v>
      </c>
      <c r="N11" s="103"/>
      <c r="O11" s="187" t="s">
        <v>187</v>
      </c>
      <c r="P11" s="188">
        <f>$D$12</f>
        <v>35.36307336354951</v>
      </c>
    </row>
    <row r="12" spans="1:16" x14ac:dyDescent="0.25">
      <c r="B12" s="207">
        <f t="shared" ref="B12:B17" si="5">D12/2.54</f>
        <v>13.922469828169099</v>
      </c>
      <c r="C12" s="6">
        <v>0</v>
      </c>
      <c r="D12" s="167">
        <f>(L1_^p+(L2_^p-L1_^p)*(1-EXP(-k*((C12+offset-shift)-A1_)))/(1-EXP(-k*(A2_-A1_))))^(1/p)</f>
        <v>35.36307336354951</v>
      </c>
      <c r="E12" s="13">
        <f t="shared" ref="E12:E47" si="6">IF(C12&gt;tmax," ",a*(D12)^b)</f>
        <v>1.0057409296356601</v>
      </c>
      <c r="F12" s="7"/>
      <c r="G12" s="7"/>
      <c r="H12" s="7"/>
      <c r="I12" s="9"/>
      <c r="J12" s="203"/>
      <c r="K12" s="9" t="str">
        <f t="shared" ref="K12:K13" si="7">IF(C12&gt;=full_sel_age,J12,"")</f>
        <v/>
      </c>
      <c r="L12" s="9"/>
      <c r="M12" s="153" t="s">
        <v>5</v>
      </c>
      <c r="N12" s="153"/>
      <c r="O12" s="49" t="s">
        <v>5</v>
      </c>
    </row>
    <row r="13" spans="1:16" x14ac:dyDescent="0.25">
      <c r="A13" s="49" t="s">
        <v>5</v>
      </c>
      <c r="B13" s="207">
        <f t="shared" si="5"/>
        <v>20.048185256346468</v>
      </c>
      <c r="C13" s="6">
        <v>1</v>
      </c>
      <c r="D13" s="167">
        <f>(L1_^p+(L2_^p-L1_^p)*(1-EXP(-k*((C13+offset-shift)-A1_)))/(1-EXP(-k*(A2_-A1_))))^(1/p)</f>
        <v>50.922390551120031</v>
      </c>
      <c r="E13" s="13">
        <f t="shared" si="6"/>
        <v>2.87285771596519</v>
      </c>
      <c r="F13" s="7"/>
      <c r="G13" s="7"/>
      <c r="H13" s="7"/>
      <c r="I13" s="9"/>
      <c r="J13" s="203"/>
      <c r="K13" s="9" t="str">
        <f t="shared" si="7"/>
        <v/>
      </c>
      <c r="L13" s="9"/>
      <c r="M13" s="153"/>
      <c r="N13" s="153"/>
      <c r="P13" s="189" t="s">
        <v>5</v>
      </c>
    </row>
    <row r="14" spans="1:16" x14ac:dyDescent="0.25">
      <c r="A14" s="180" t="s">
        <v>5</v>
      </c>
      <c r="B14" s="207">
        <f t="shared" si="5"/>
        <v>27.187620058487347</v>
      </c>
      <c r="C14" s="6">
        <f t="shared" ref="C14:C38" si="8">IF(C13&lt;tmax,C13+1," ")</f>
        <v>2</v>
      </c>
      <c r="D14" s="167">
        <f t="shared" ref="D14:D47" si="9">(L1_^p+(L2_^p-L1_^p)*(1-EXP(-k*((C14+offset-shift)-A1_)))/(1-EXP(-k*(A2_-A1_))))^(1/p)</f>
        <v>69.05655494855786</v>
      </c>
      <c r="E14" s="13">
        <f t="shared" si="6"/>
        <v>6.9043378006352656</v>
      </c>
      <c r="F14" s="7"/>
      <c r="G14" s="7"/>
      <c r="H14" s="7"/>
      <c r="I14" s="9"/>
      <c r="J14" s="203"/>
      <c r="K14" s="9"/>
      <c r="L14" s="9"/>
      <c r="M14" s="153"/>
      <c r="N14" s="153"/>
      <c r="O14" s="46" t="s">
        <v>188</v>
      </c>
      <c r="P14" s="181">
        <f t="shared" ref="P14" si="10">P3/( LN(P10/ (P10+P9) ))</f>
        <v>-0.44458963763859394</v>
      </c>
    </row>
    <row r="15" spans="1:16" x14ac:dyDescent="0.25">
      <c r="A15" s="184" t="s">
        <v>5</v>
      </c>
      <c r="B15" s="207">
        <f t="shared" si="5"/>
        <v>35.006933471385331</v>
      </c>
      <c r="C15" s="6">
        <f t="shared" si="8"/>
        <v>3</v>
      </c>
      <c r="D15" s="167">
        <f t="shared" si="9"/>
        <v>88.917611017318748</v>
      </c>
      <c r="E15" s="13">
        <f t="shared" si="6"/>
        <v>14.293107622429364</v>
      </c>
      <c r="F15" s="7"/>
      <c r="G15" s="7"/>
      <c r="H15" s="7"/>
      <c r="I15" s="9"/>
      <c r="J15" s="203"/>
      <c r="K15" s="9"/>
      <c r="L15" s="9"/>
      <c r="M15" s="153"/>
      <c r="N15" s="153" t="s">
        <v>5</v>
      </c>
      <c r="P15" s="7"/>
    </row>
    <row r="16" spans="1:16" x14ac:dyDescent="0.25">
      <c r="A16" s="45"/>
      <c r="B16" s="207">
        <f t="shared" si="5"/>
        <v>43.125169547178331</v>
      </c>
      <c r="C16" s="6">
        <f t="shared" si="8"/>
        <v>4</v>
      </c>
      <c r="D16" s="167">
        <f t="shared" si="9"/>
        <v>109.53793064983296</v>
      </c>
      <c r="E16" s="13">
        <f t="shared" si="6"/>
        <v>26.052379138399161</v>
      </c>
      <c r="F16" s="7"/>
      <c r="G16" s="7"/>
      <c r="H16" s="7"/>
      <c r="I16" s="9"/>
      <c r="J16" s="203"/>
      <c r="K16" s="9"/>
      <c r="L16" s="9"/>
      <c r="M16" s="153"/>
      <c r="N16" s="153"/>
      <c r="P16" s="190"/>
    </row>
    <row r="17" spans="1:17" x14ac:dyDescent="0.25">
      <c r="B17" s="207">
        <f t="shared" si="5"/>
        <v>51.179546005002095</v>
      </c>
      <c r="C17" s="6">
        <f t="shared" si="8"/>
        <v>5</v>
      </c>
      <c r="D17" s="167">
        <f t="shared" si="9"/>
        <v>129.99604685270532</v>
      </c>
      <c r="E17" s="13">
        <f t="shared" si="6"/>
        <v>42.648637824632658</v>
      </c>
      <c r="F17" s="7"/>
      <c r="G17" s="7"/>
      <c r="H17" s="7"/>
      <c r="I17" s="9"/>
      <c r="J17" s="203"/>
      <c r="K17" s="9"/>
      <c r="L17" s="9"/>
      <c r="M17" s="153"/>
      <c r="N17" s="153"/>
      <c r="O17" s="191" t="s">
        <v>189</v>
      </c>
      <c r="P17" s="50" t="str">
        <f t="shared" ref="P17" si="11">CONCATENATE("tc= ", P2)</f>
        <v>tc= 20</v>
      </c>
    </row>
    <row r="18" spans="1:17" x14ac:dyDescent="0.25">
      <c r="A18" t="s">
        <v>5</v>
      </c>
      <c r="B18" s="207">
        <f>D18/2.54</f>
        <v>58.871018574677223</v>
      </c>
      <c r="C18" s="6">
        <f t="shared" si="8"/>
        <v>6</v>
      </c>
      <c r="D18" s="167">
        <f t="shared" si="9"/>
        <v>149.53238717968014</v>
      </c>
      <c r="E18" s="13">
        <f t="shared" si="6"/>
        <v>63.816021521973767</v>
      </c>
      <c r="F18" s="7"/>
      <c r="G18" s="7"/>
      <c r="H18" s="7"/>
      <c r="I18" s="9"/>
      <c r="J18" s="203"/>
      <c r="K18" s="9"/>
      <c r="L18" s="9"/>
      <c r="M18" s="153"/>
      <c r="N18" s="153"/>
      <c r="O18" s="192">
        <v>0</v>
      </c>
      <c r="P18" s="196">
        <f>LN( $D12/($D12+P$9 ))*P$14</f>
        <v>0.4700998304906211</v>
      </c>
      <c r="Q18" s="193"/>
    </row>
    <row r="19" spans="1:17" x14ac:dyDescent="0.25">
      <c r="B19" s="207">
        <f>D19/2.54</f>
        <v>65.985520618503401</v>
      </c>
      <c r="C19" s="6">
        <f t="shared" si="8"/>
        <v>7</v>
      </c>
      <c r="D19" s="167">
        <f t="shared" si="9"/>
        <v>167.60322237099862</v>
      </c>
      <c r="E19" s="13">
        <f t="shared" si="6"/>
        <v>88.623442991927519</v>
      </c>
      <c r="F19" s="7"/>
      <c r="G19" s="7"/>
      <c r="H19" s="7"/>
      <c r="I19" s="9"/>
      <c r="J19" s="203"/>
      <c r="K19" s="9"/>
      <c r="L19" s="9"/>
      <c r="M19" s="153"/>
      <c r="N19" s="153"/>
      <c r="O19" s="192">
        <v>1</v>
      </c>
      <c r="P19" s="196">
        <f t="shared" ref="P19:P77" si="12">LN( $D13/($D13+P$9 ))*P$14</f>
        <v>0.37121896292338535</v>
      </c>
      <c r="Q19" s="193"/>
    </row>
    <row r="20" spans="1:17" x14ac:dyDescent="0.25">
      <c r="B20" s="207">
        <f>D20/2.54</f>
        <v>72.394845339343178</v>
      </c>
      <c r="C20" s="6">
        <f t="shared" si="8"/>
        <v>8</v>
      </c>
      <c r="D20" s="167">
        <f t="shared" si="9"/>
        <v>183.88290716193168</v>
      </c>
      <c r="E20" s="13">
        <f t="shared" si="6"/>
        <v>115.72632677800127</v>
      </c>
      <c r="F20" s="7"/>
      <c r="G20" s="7"/>
      <c r="H20" s="7"/>
      <c r="I20" s="9"/>
      <c r="J20" s="203"/>
      <c r="K20" s="9"/>
      <c r="L20" s="9"/>
      <c r="M20" s="153"/>
      <c r="N20" s="153"/>
      <c r="O20" s="192">
        <v>2</v>
      </c>
      <c r="P20" s="196">
        <f t="shared" si="12"/>
        <v>0.29966484305169694</v>
      </c>
      <c r="Q20" s="193"/>
    </row>
    <row r="21" spans="1:17" x14ac:dyDescent="0.25">
      <c r="B21" s="207">
        <f>D21/2.54</f>
        <v>78.044682954790233</v>
      </c>
      <c r="C21" s="6">
        <f t="shared" si="8"/>
        <v>9</v>
      </c>
      <c r="D21" s="167">
        <f t="shared" si="9"/>
        <v>198.2334947051672</v>
      </c>
      <c r="E21" s="13">
        <f t="shared" si="6"/>
        <v>143.67207460020708</v>
      </c>
      <c r="F21" s="7"/>
      <c r="G21" s="7"/>
      <c r="H21" s="7"/>
      <c r="I21" s="9"/>
      <c r="J21" s="203"/>
      <c r="K21" s="9"/>
      <c r="L21" s="9"/>
      <c r="M21" s="153"/>
      <c r="N21" s="153"/>
      <c r="O21" s="192">
        <v>3</v>
      </c>
      <c r="P21" s="196">
        <f t="shared" si="12"/>
        <v>0.24809169776879977</v>
      </c>
      <c r="Q21" s="193"/>
    </row>
    <row r="22" spans="1:17" x14ac:dyDescent="0.25">
      <c r="C22" s="6">
        <f t="shared" si="8"/>
        <v>10</v>
      </c>
      <c r="D22" s="167">
        <f t="shared" si="9"/>
        <v>210.66011566192304</v>
      </c>
      <c r="E22" s="13">
        <f t="shared" si="6"/>
        <v>171.15069631941589</v>
      </c>
      <c r="F22" s="7"/>
      <c r="G22" s="7"/>
      <c r="H22" s="7"/>
      <c r="I22" s="9"/>
      <c r="J22" s="203"/>
      <c r="K22" s="9"/>
      <c r="L22" s="9"/>
      <c r="M22" s="153"/>
      <c r="N22" s="153"/>
      <c r="O22" s="192">
        <v>4</v>
      </c>
      <c r="P22" s="196">
        <f t="shared" si="12"/>
        <v>0.21077629315481541</v>
      </c>
      <c r="Q22" s="193"/>
    </row>
    <row r="23" spans="1:17" x14ac:dyDescent="0.25">
      <c r="C23" s="6">
        <f t="shared" si="8"/>
        <v>11</v>
      </c>
      <c r="D23" s="167">
        <f t="shared" si="9"/>
        <v>221.26528627493616</v>
      </c>
      <c r="E23" s="13">
        <f t="shared" si="6"/>
        <v>197.14184188739878</v>
      </c>
      <c r="F23" s="7"/>
      <c r="G23" s="7"/>
      <c r="H23" s="7"/>
      <c r="I23" s="9"/>
      <c r="J23" s="203"/>
      <c r="K23" s="9"/>
      <c r="L23" s="9"/>
      <c r="M23" s="153"/>
      <c r="N23" s="153"/>
      <c r="O23" s="192">
        <v>5</v>
      </c>
      <c r="P23" s="196">
        <f t="shared" si="12"/>
        <v>0.18354284203657478</v>
      </c>
      <c r="Q23" s="193"/>
    </row>
    <row r="24" spans="1:17" x14ac:dyDescent="0.25">
      <c r="C24" s="6">
        <f t="shared" si="8"/>
        <v>12</v>
      </c>
      <c r="D24" s="167">
        <f t="shared" si="9"/>
        <v>230.20947061321465</v>
      </c>
      <c r="E24" s="13">
        <f t="shared" si="6"/>
        <v>220.96153080381706</v>
      </c>
      <c r="F24" s="7"/>
      <c r="G24" s="7"/>
      <c r="H24" s="7"/>
      <c r="I24" s="9"/>
      <c r="J24" s="203"/>
      <c r="K24" s="9"/>
      <c r="L24" s="9"/>
      <c r="M24" s="9"/>
      <c r="N24" s="104"/>
      <c r="O24" s="192">
        <v>6</v>
      </c>
      <c r="P24" s="196">
        <f t="shared" si="12"/>
        <v>0.16344932447332705</v>
      </c>
      <c r="Q24" s="193"/>
    </row>
    <row r="25" spans="1:17" x14ac:dyDescent="0.25">
      <c r="C25" s="6">
        <f t="shared" si="8"/>
        <v>13</v>
      </c>
      <c r="D25" s="167">
        <f t="shared" si="9"/>
        <v>237.68068644881029</v>
      </c>
      <c r="E25" s="13">
        <f t="shared" si="6"/>
        <v>242.23830572135046</v>
      </c>
      <c r="F25" s="7"/>
      <c r="G25" s="7"/>
      <c r="H25" s="7"/>
      <c r="I25" s="9"/>
      <c r="J25" s="203"/>
      <c r="K25" s="9"/>
      <c r="L25" s="9"/>
      <c r="M25" s="9"/>
      <c r="N25" s="104"/>
      <c r="O25" s="192">
        <v>7</v>
      </c>
      <c r="P25" s="196">
        <f t="shared" si="12"/>
        <v>0.1484526856051456</v>
      </c>
      <c r="Q25" s="193"/>
    </row>
    <row r="26" spans="1:17" x14ac:dyDescent="0.25">
      <c r="C26" s="6">
        <f t="shared" si="8"/>
        <v>14</v>
      </c>
      <c r="D26" s="167">
        <f t="shared" si="9"/>
        <v>243.87314265619261</v>
      </c>
      <c r="E26" s="13">
        <f t="shared" si="6"/>
        <v>260.85271012789673</v>
      </c>
      <c r="F26" s="7"/>
      <c r="G26" s="7"/>
      <c r="H26" s="7"/>
      <c r="I26" s="9"/>
      <c r="J26" s="203"/>
      <c r="K26" s="9"/>
      <c r="L26" s="9"/>
      <c r="M26" s="9"/>
      <c r="N26" s="104"/>
      <c r="O26" s="192">
        <v>8</v>
      </c>
      <c r="P26" s="196">
        <f t="shared" si="12"/>
        <v>0.13713607339663569</v>
      </c>
      <c r="Q26" s="193"/>
    </row>
    <row r="27" spans="1:17" x14ac:dyDescent="0.25">
      <c r="C27" s="6">
        <f t="shared" si="8"/>
        <v>15</v>
      </c>
      <c r="D27" s="167">
        <f t="shared" si="9"/>
        <v>248.97353047749453</v>
      </c>
      <c r="E27" s="13">
        <f t="shared" si="6"/>
        <v>276.86645065579546</v>
      </c>
      <c r="F27" s="7"/>
      <c r="G27" s="7"/>
      <c r="H27" s="7"/>
      <c r="I27" s="9"/>
      <c r="J27" s="203"/>
      <c r="K27" s="9"/>
      <c r="L27" s="9"/>
      <c r="M27" s="9"/>
      <c r="N27" s="104"/>
      <c r="O27" s="192">
        <v>9</v>
      </c>
      <c r="P27" s="196">
        <f t="shared" si="12"/>
        <v>0.12851044813288992</v>
      </c>
      <c r="Q27" s="193"/>
    </row>
    <row r="28" spans="1:17" x14ac:dyDescent="0.25">
      <c r="C28" s="6">
        <f t="shared" si="8"/>
        <v>16</v>
      </c>
      <c r="D28" s="167">
        <f t="shared" si="9"/>
        <v>253.15316757529988</v>
      </c>
      <c r="E28" s="13">
        <f t="shared" si="6"/>
        <v>290.45715257558874</v>
      </c>
      <c r="F28" s="7"/>
      <c r="G28" s="7"/>
      <c r="H28" s="7"/>
      <c r="I28" s="9"/>
      <c r="J28" s="203"/>
      <c r="K28" s="9"/>
      <c r="L28" s="9"/>
      <c r="M28" s="9"/>
      <c r="N28" s="104"/>
      <c r="O28" s="192">
        <v>10</v>
      </c>
      <c r="P28" s="196">
        <f t="shared" si="12"/>
        <v>0.12187778004986574</v>
      </c>
      <c r="Q28" s="193"/>
    </row>
    <row r="29" spans="1:17" x14ac:dyDescent="0.25">
      <c r="C29" s="6">
        <f t="shared" si="8"/>
        <v>17</v>
      </c>
      <c r="D29" s="167">
        <f t="shared" si="9"/>
        <v>256.56428075813568</v>
      </c>
      <c r="E29" s="13">
        <f t="shared" si="6"/>
        <v>301.86587078366614</v>
      </c>
      <c r="F29" s="7"/>
      <c r="G29" s="7"/>
      <c r="H29" s="7"/>
      <c r="I29" s="9"/>
      <c r="J29" s="203"/>
      <c r="K29" s="9"/>
      <c r="L29" s="9"/>
      <c r="M29" s="9"/>
      <c r="N29" s="104"/>
      <c r="O29" s="192">
        <v>11</v>
      </c>
      <c r="P29" s="196">
        <f t="shared" si="12"/>
        <v>0.11673890910133462</v>
      </c>
      <c r="Q29" s="193"/>
    </row>
    <row r="30" spans="1:17" x14ac:dyDescent="0.25">
      <c r="C30" s="6">
        <f t="shared" si="8"/>
        <v>18</v>
      </c>
      <c r="D30" s="167">
        <f t="shared" si="9"/>
        <v>259.33901586017458</v>
      </c>
      <c r="E30" s="13">
        <f t="shared" si="6"/>
        <v>311.3588207498882</v>
      </c>
      <c r="F30" s="7"/>
      <c r="G30" s="7"/>
      <c r="H30" s="7"/>
      <c r="I30" s="9"/>
      <c r="J30" s="203"/>
      <c r="K30" s="9"/>
      <c r="L30" s="9"/>
      <c r="M30" s="9"/>
      <c r="N30" s="104"/>
      <c r="O30" s="45">
        <v>12</v>
      </c>
      <c r="P30" s="196">
        <f t="shared" si="12"/>
        <v>0.11273192232989925</v>
      </c>
      <c r="Q30" s="193"/>
    </row>
    <row r="31" spans="1:17" x14ac:dyDescent="0.25">
      <c r="C31" s="6">
        <f t="shared" si="8"/>
        <v>19</v>
      </c>
      <c r="D31" s="167">
        <f t="shared" si="9"/>
        <v>261.59011221185176</v>
      </c>
      <c r="E31" s="13">
        <f t="shared" si="6"/>
        <v>319.20180672537418</v>
      </c>
      <c r="F31" s="7"/>
      <c r="G31" s="7"/>
      <c r="H31" s="7"/>
      <c r="I31" s="9"/>
      <c r="J31" s="203"/>
      <c r="K31" s="9"/>
      <c r="L31" s="9"/>
      <c r="M31" s="9"/>
      <c r="N31" s="104"/>
      <c r="O31" s="45">
        <v>13</v>
      </c>
      <c r="P31" s="196">
        <f t="shared" si="12"/>
        <v>0.10959083738485631</v>
      </c>
      <c r="Q31" s="193"/>
    </row>
    <row r="32" spans="1:17" x14ac:dyDescent="0.25">
      <c r="C32" s="6">
        <f t="shared" si="8"/>
        <v>20</v>
      </c>
      <c r="D32" s="167">
        <f t="shared" si="9"/>
        <v>263.41249326469494</v>
      </c>
      <c r="E32" s="13">
        <f t="shared" si="6"/>
        <v>325.64468920941823</v>
      </c>
      <c r="F32" s="7"/>
      <c r="G32" s="7"/>
      <c r="H32" s="7"/>
      <c r="I32" s="9"/>
      <c r="J32" s="203"/>
      <c r="K32" s="9"/>
      <c r="L32" s="9"/>
      <c r="M32" s="9"/>
      <c r="N32" s="104"/>
      <c r="O32" s="45">
        <v>14</v>
      </c>
      <c r="P32" s="196">
        <f t="shared" si="12"/>
        <v>0.10711767280240458</v>
      </c>
      <c r="Q32" s="193"/>
    </row>
    <row r="33" spans="3:17" x14ac:dyDescent="0.25">
      <c r="C33" s="6">
        <f t="shared" si="8"/>
        <v>21</v>
      </c>
      <c r="D33" s="167">
        <f t="shared" si="9"/>
        <v>264.88527549781969</v>
      </c>
      <c r="E33" s="13">
        <f t="shared" si="6"/>
        <v>330.91314563441625</v>
      </c>
      <c r="F33" s="7"/>
      <c r="G33" s="7"/>
      <c r="H33" s="7"/>
      <c r="I33" s="9"/>
      <c r="J33" s="203"/>
      <c r="K33" s="9"/>
      <c r="L33" s="9"/>
      <c r="M33" s="9"/>
      <c r="N33" s="104"/>
      <c r="O33" s="45">
        <v>15</v>
      </c>
      <c r="P33" s="196">
        <f t="shared" si="12"/>
        <v>0.10516334827705018</v>
      </c>
      <c r="Q33" s="193"/>
    </row>
    <row r="34" spans="3:17" x14ac:dyDescent="0.25">
      <c r="C34" s="6">
        <f t="shared" si="8"/>
        <v>22</v>
      </c>
      <c r="D34" s="167">
        <f t="shared" si="9"/>
        <v>266.073882940705</v>
      </c>
      <c r="E34" s="13">
        <f t="shared" si="6"/>
        <v>335.20536974803514</v>
      </c>
      <c r="F34" s="7"/>
      <c r="G34" s="7"/>
      <c r="H34" s="7"/>
      <c r="I34" s="9"/>
      <c r="J34" s="203"/>
      <c r="K34" s="9"/>
      <c r="L34" s="9"/>
      <c r="M34" s="9"/>
      <c r="N34" s="104"/>
      <c r="O34" s="45">
        <v>16</v>
      </c>
      <c r="P34" s="196">
        <f t="shared" si="12"/>
        <v>0.10361444660669529</v>
      </c>
      <c r="Q34" s="193"/>
    </row>
    <row r="35" spans="3:17" x14ac:dyDescent="0.25">
      <c r="C35" s="6">
        <f t="shared" si="8"/>
        <v>23</v>
      </c>
      <c r="D35" s="167">
        <f t="shared" si="9"/>
        <v>267.03208408248298</v>
      </c>
      <c r="E35" s="13">
        <f t="shared" si="6"/>
        <v>338.69189058278442</v>
      </c>
      <c r="F35" s="7"/>
      <c r="G35" s="7"/>
      <c r="H35" s="7"/>
      <c r="I35" s="9"/>
      <c r="J35" s="203"/>
      <c r="K35" s="9"/>
      <c r="L35" s="9" t="s">
        <v>5</v>
      </c>
      <c r="M35" s="9"/>
      <c r="N35" s="103"/>
      <c r="O35" s="45">
        <v>17</v>
      </c>
      <c r="P35" s="196">
        <f t="shared" si="12"/>
        <v>0.10238390583359844</v>
      </c>
      <c r="Q35" s="193"/>
    </row>
    <row r="36" spans="3:17" x14ac:dyDescent="0.25">
      <c r="C36" s="6">
        <f t="shared" si="8"/>
        <v>24</v>
      </c>
      <c r="D36" s="167">
        <f t="shared" si="9"/>
        <v>267.80385423457824</v>
      </c>
      <c r="E36" s="13">
        <f t="shared" si="6"/>
        <v>341.51720297748983</v>
      </c>
      <c r="F36" s="7"/>
      <c r="G36" s="7"/>
      <c r="H36" s="7"/>
      <c r="I36" s="9"/>
      <c r="J36" s="203"/>
      <c r="K36" s="9"/>
      <c r="L36" s="104" t="s">
        <v>5</v>
      </c>
      <c r="M36" s="9"/>
      <c r="N36" s="103"/>
      <c r="O36" s="45">
        <v>18</v>
      </c>
      <c r="P36" s="196">
        <f t="shared" si="12"/>
        <v>0.10140437883677812</v>
      </c>
      <c r="Q36" s="193"/>
    </row>
    <row r="37" spans="3:17" x14ac:dyDescent="0.25">
      <c r="C37" s="6">
        <f t="shared" si="8"/>
        <v>25</v>
      </c>
      <c r="D37" s="167">
        <f t="shared" si="9"/>
        <v>268.42502139586395</v>
      </c>
      <c r="E37" s="13">
        <f t="shared" si="6"/>
        <v>343.80232198170785</v>
      </c>
      <c r="F37" s="7"/>
      <c r="G37" s="7"/>
      <c r="H37" s="7"/>
      <c r="I37" s="9"/>
      <c r="J37" s="203"/>
      <c r="K37" s="9"/>
      <c r="L37" s="9"/>
      <c r="M37" s="7"/>
      <c r="O37" s="45">
        <v>19</v>
      </c>
      <c r="P37" s="196">
        <f t="shared" si="12"/>
        <v>0.10062342794959374</v>
      </c>
      <c r="Q37" s="193"/>
    </row>
    <row r="38" spans="3:17" x14ac:dyDescent="0.25">
      <c r="C38" s="6">
        <f t="shared" si="8"/>
        <v>26</v>
      </c>
      <c r="D38" s="167">
        <f t="shared" si="9"/>
        <v>268.92468696407281</v>
      </c>
      <c r="E38" s="13">
        <f t="shared" si="6"/>
        <v>345.64769054786802</v>
      </c>
      <c r="F38" s="7"/>
      <c r="G38" s="7"/>
      <c r="H38" s="7"/>
      <c r="I38" s="9"/>
      <c r="J38" s="203"/>
      <c r="K38" s="9"/>
      <c r="L38" s="9"/>
      <c r="M38" s="7"/>
      <c r="O38" s="45">
        <v>20</v>
      </c>
      <c r="P38" s="196">
        <f t="shared" si="12"/>
        <v>0.1</v>
      </c>
      <c r="Q38" s="193"/>
    </row>
    <row r="39" spans="3:17" x14ac:dyDescent="0.25">
      <c r="C39" s="6">
        <f>IF(C38&lt;tmax,C38+1,"")</f>
        <v>27</v>
      </c>
      <c r="D39" s="167">
        <f t="shared" si="9"/>
        <v>269.3264314868332</v>
      </c>
      <c r="E39" s="13">
        <f t="shared" si="6"/>
        <v>347.13609510631477</v>
      </c>
      <c r="F39" s="7"/>
      <c r="G39" s="7"/>
      <c r="H39" s="7"/>
      <c r="I39" s="7"/>
      <c r="J39" s="201"/>
      <c r="K39" s="7"/>
      <c r="L39" s="7"/>
      <c r="M39" s="7"/>
      <c r="O39" s="45">
        <v>21</v>
      </c>
      <c r="P39" s="196">
        <f t="shared" si="12"/>
        <v>9.9501807761661537E-2</v>
      </c>
      <c r="Q39" s="193"/>
    </row>
    <row r="40" spans="3:17" x14ac:dyDescent="0.25">
      <c r="C40" s="6">
        <f t="shared" ref="C40:C58" si="13">IF(C39&lt;tmax,C39+1," ")</f>
        <v>28</v>
      </c>
      <c r="D40" s="167">
        <f t="shared" si="9"/>
        <v>269.64932522084746</v>
      </c>
      <c r="E40" s="13">
        <f t="shared" si="6"/>
        <v>348.33539606470401</v>
      </c>
      <c r="F40" s="7"/>
      <c r="G40" s="7"/>
      <c r="H40" s="7"/>
      <c r="I40" s="7"/>
      <c r="J40" s="201"/>
      <c r="K40" s="7"/>
      <c r="L40" s="7"/>
      <c r="M40" s="7"/>
      <c r="O40" s="45">
        <v>22</v>
      </c>
      <c r="P40" s="196">
        <f t="shared" si="12"/>
        <v>9.9103362255371599E-2</v>
      </c>
      <c r="Q40" s="193"/>
    </row>
    <row r="41" spans="3:17" x14ac:dyDescent="0.25">
      <c r="C41" s="6">
        <f t="shared" si="13"/>
        <v>29</v>
      </c>
      <c r="D41" s="167">
        <f t="shared" si="9"/>
        <v>269.90876711736149</v>
      </c>
      <c r="E41" s="13">
        <f t="shared" si="6"/>
        <v>349.30097907072616</v>
      </c>
      <c r="F41" s="7"/>
      <c r="G41" s="7"/>
      <c r="H41" s="7"/>
      <c r="I41" s="7"/>
      <c r="J41" s="201"/>
      <c r="K41" s="7"/>
      <c r="L41" s="7"/>
      <c r="M41" s="7"/>
      <c r="O41" s="45">
        <v>23</v>
      </c>
      <c r="P41" s="196">
        <f t="shared" si="12"/>
        <v>9.8784478858202962E-2</v>
      </c>
      <c r="Q41" s="193"/>
    </row>
    <row r="42" spans="3:17" x14ac:dyDescent="0.25">
      <c r="C42" s="6">
        <f t="shared" si="13"/>
        <v>30</v>
      </c>
      <c r="D42" s="167">
        <f t="shared" si="9"/>
        <v>270.11717633436456</v>
      </c>
      <c r="E42" s="13">
        <f t="shared" si="6"/>
        <v>350.07789404183228</v>
      </c>
      <c r="F42" s="7"/>
      <c r="G42" s="7"/>
      <c r="H42" s="7"/>
      <c r="I42" s="7"/>
      <c r="J42" s="201"/>
      <c r="K42" s="7"/>
      <c r="L42" s="7"/>
      <c r="M42" s="7"/>
      <c r="O42" s="45">
        <v>24</v>
      </c>
      <c r="P42" s="196">
        <f t="shared" si="12"/>
        <v>9.852913283625768E-2</v>
      </c>
      <c r="Q42" s="193"/>
    </row>
    <row r="43" spans="3:17" x14ac:dyDescent="0.25">
      <c r="C43" s="6">
        <f t="shared" si="13"/>
        <v>31</v>
      </c>
      <c r="D43" s="167">
        <f t="shared" si="9"/>
        <v>270.28455901120424</v>
      </c>
      <c r="E43" s="13">
        <f t="shared" si="6"/>
        <v>350.70268476289158</v>
      </c>
      <c r="F43" s="7"/>
      <c r="G43" s="7"/>
      <c r="H43" s="7"/>
      <c r="I43" s="7"/>
      <c r="J43" s="201"/>
      <c r="K43" s="7"/>
      <c r="L43" s="7"/>
      <c r="M43" s="7"/>
      <c r="O43" s="45">
        <v>25</v>
      </c>
      <c r="P43" s="196">
        <f t="shared" si="12"/>
        <v>9.8324575677019188E-2</v>
      </c>
      <c r="Q43" s="193"/>
    </row>
    <row r="44" spans="3:17" x14ac:dyDescent="0.25">
      <c r="C44" s="6">
        <f t="shared" si="13"/>
        <v>32</v>
      </c>
      <c r="D44" s="167">
        <f t="shared" si="9"/>
        <v>270.41897077959641</v>
      </c>
      <c r="E44" s="13">
        <f t="shared" si="6"/>
        <v>351.20493114907151</v>
      </c>
      <c r="F44" s="7"/>
      <c r="G44" s="7"/>
      <c r="H44" s="7"/>
      <c r="I44" s="7"/>
      <c r="J44" s="201"/>
      <c r="K44" s="7"/>
      <c r="L44" s="7"/>
      <c r="M44" s="7"/>
      <c r="O44" s="45">
        <v>26</v>
      </c>
      <c r="P44" s="196">
        <f t="shared" si="12"/>
        <v>9.8160648202692671E-2</v>
      </c>
      <c r="Q44" s="193"/>
    </row>
    <row r="45" spans="3:17" x14ac:dyDescent="0.25">
      <c r="C45" s="6">
        <f t="shared" si="13"/>
        <v>33</v>
      </c>
      <c r="D45" s="167">
        <f t="shared" si="9"/>
        <v>270.5268928986805</v>
      </c>
      <c r="E45" s="13">
        <f t="shared" si="6"/>
        <v>351.60853521533858</v>
      </c>
      <c r="F45" s="7"/>
      <c r="G45" s="7"/>
      <c r="H45" s="7"/>
      <c r="I45" s="7"/>
      <c r="J45" s="201"/>
      <c r="K45" s="7"/>
      <c r="L45" s="7"/>
      <c r="M45" s="7"/>
      <c r="O45" s="45">
        <v>27</v>
      </c>
      <c r="P45" s="196">
        <f t="shared" si="12"/>
        <v>9.8029243606563912E-2</v>
      </c>
      <c r="Q45" s="193"/>
    </row>
    <row r="46" spans="3:17" x14ac:dyDescent="0.25">
      <c r="C46" s="6">
        <f t="shared" si="13"/>
        <v>34</v>
      </c>
      <c r="D46" s="167">
        <f t="shared" si="9"/>
        <v>270.61353731896639</v>
      </c>
      <c r="E46" s="13">
        <f t="shared" si="6"/>
        <v>351.93278451044529</v>
      </c>
      <c r="F46" s="7"/>
      <c r="G46" s="7"/>
      <c r="H46" s="7"/>
      <c r="I46" s="7"/>
      <c r="J46" s="201"/>
      <c r="K46" s="7"/>
      <c r="L46" s="7"/>
      <c r="M46" s="7"/>
      <c r="O46" s="45">
        <v>28</v>
      </c>
      <c r="P46" s="196">
        <f t="shared" si="12"/>
        <v>9.7923885687783527E-2</v>
      </c>
      <c r="Q46" s="193"/>
    </row>
    <row r="47" spans="3:17" x14ac:dyDescent="0.25">
      <c r="C47" s="6">
        <f t="shared" si="13"/>
        <v>35</v>
      </c>
      <c r="D47" s="167">
        <f t="shared" si="9"/>
        <v>270.68309357513044</v>
      </c>
      <c r="E47" s="13">
        <f t="shared" si="6"/>
        <v>352.19322594878497</v>
      </c>
      <c r="F47" s="7"/>
      <c r="G47" s="7"/>
      <c r="H47" s="7"/>
      <c r="I47" s="7"/>
      <c r="J47" s="201"/>
      <c r="K47" s="7"/>
      <c r="L47" s="7"/>
      <c r="M47" s="7"/>
      <c r="O47" s="45">
        <v>29</v>
      </c>
      <c r="P47" s="196">
        <f t="shared" si="12"/>
        <v>9.7839396256373085E-2</v>
      </c>
      <c r="Q47" s="193"/>
    </row>
    <row r="48" spans="3:17" x14ac:dyDescent="0.25">
      <c r="C48" s="6" t="str">
        <f t="shared" si="13"/>
        <v xml:space="preserve"> </v>
      </c>
      <c r="D48" s="167" t="str">
        <f t="shared" ref="D48:D58" si="14">IF(C48&gt;tmax," ",linf*(1-EXP(-k*(C48-t0+offset-shift))))</f>
        <v xml:space="preserve"> </v>
      </c>
      <c r="E48" s="13" t="str">
        <f t="shared" ref="E48:E58" si="15">IF(C48&gt;tmax," ",a*(D48)^b)</f>
        <v xml:space="preserve"> </v>
      </c>
      <c r="F48" s="7"/>
      <c r="G48" s="7"/>
      <c r="H48" s="7"/>
      <c r="I48" s="7"/>
      <c r="J48" s="201"/>
      <c r="K48" s="7"/>
      <c r="L48" s="7"/>
      <c r="M48" s="7"/>
      <c r="N48" s="44" t="s">
        <v>5</v>
      </c>
      <c r="O48" s="45">
        <v>30</v>
      </c>
      <c r="P48" s="193">
        <f t="shared" si="12"/>
        <v>9.7771631996400279E-2</v>
      </c>
      <c r="Q48" s="193"/>
    </row>
    <row r="49" spans="3:17" x14ac:dyDescent="0.25">
      <c r="C49" s="6" t="str">
        <f t="shared" si="13"/>
        <v xml:space="preserve"> </v>
      </c>
      <c r="D49" s="167" t="str">
        <f t="shared" si="14"/>
        <v xml:space="preserve"> </v>
      </c>
      <c r="E49" s="13" t="str">
        <f t="shared" si="15"/>
        <v xml:space="preserve"> </v>
      </c>
      <c r="F49" s="7"/>
      <c r="G49" s="7"/>
      <c r="H49" s="7"/>
      <c r="I49" s="7"/>
      <c r="J49" s="201"/>
      <c r="K49" s="7"/>
      <c r="L49" s="7"/>
      <c r="M49" s="7"/>
      <c r="O49" s="45">
        <v>31</v>
      </c>
      <c r="P49" s="193">
        <f t="shared" si="12"/>
        <v>9.7717275721157251E-2</v>
      </c>
      <c r="Q49" s="193"/>
    </row>
    <row r="50" spans="3:17" x14ac:dyDescent="0.25">
      <c r="C50" s="6" t="str">
        <f t="shared" si="13"/>
        <v xml:space="preserve"> </v>
      </c>
      <c r="D50" s="167" t="str">
        <f t="shared" si="14"/>
        <v xml:space="preserve"> </v>
      </c>
      <c r="E50" s="13" t="str">
        <f t="shared" si="15"/>
        <v xml:space="preserve"> </v>
      </c>
      <c r="F50" s="7"/>
      <c r="G50" s="7"/>
      <c r="H50" s="7"/>
      <c r="I50" s="7"/>
      <c r="J50" s="201"/>
      <c r="K50" s="7"/>
      <c r="L50" s="7"/>
      <c r="M50" s="7"/>
      <c r="O50" s="45">
        <v>32</v>
      </c>
      <c r="P50" s="193">
        <f t="shared" si="12"/>
        <v>9.7673670412254832E-2</v>
      </c>
      <c r="Q50" s="193"/>
    </row>
    <row r="51" spans="3:17" x14ac:dyDescent="0.25">
      <c r="C51" s="6" t="str">
        <f t="shared" si="13"/>
        <v xml:space="preserve"> </v>
      </c>
      <c r="D51" s="167" t="str">
        <f t="shared" si="14"/>
        <v xml:space="preserve"> </v>
      </c>
      <c r="E51" s="13" t="str">
        <f t="shared" si="15"/>
        <v xml:space="preserve"> </v>
      </c>
      <c r="F51" s="7"/>
      <c r="G51" s="7"/>
      <c r="H51" s="7"/>
      <c r="I51" s="7"/>
      <c r="J51" s="201"/>
      <c r="K51" s="7"/>
      <c r="L51" s="7"/>
      <c r="M51" s="7"/>
      <c r="O51" s="45">
        <v>33</v>
      </c>
      <c r="P51" s="193">
        <f t="shared" si="12"/>
        <v>9.7638687036692512E-2</v>
      </c>
      <c r="Q51" s="193"/>
    </row>
    <row r="52" spans="3:17" x14ac:dyDescent="0.25">
      <c r="C52" s="6" t="str">
        <f t="shared" si="13"/>
        <v xml:space="preserve"> </v>
      </c>
      <c r="D52" s="167" t="str">
        <f t="shared" si="14"/>
        <v xml:space="preserve"> </v>
      </c>
      <c r="E52" s="13" t="str">
        <f t="shared" si="15"/>
        <v xml:space="preserve"> </v>
      </c>
      <c r="F52" s="7"/>
      <c r="G52" s="7"/>
      <c r="H52" s="7"/>
      <c r="I52" s="7"/>
      <c r="J52" s="201"/>
      <c r="K52" s="7"/>
      <c r="L52" s="7"/>
      <c r="M52" s="7"/>
      <c r="O52" s="45">
        <v>34</v>
      </c>
      <c r="P52" s="193">
        <f t="shared" si="12"/>
        <v>9.7610619113364785E-2</v>
      </c>
      <c r="Q52" s="193"/>
    </row>
    <row r="53" spans="3:17" x14ac:dyDescent="0.25">
      <c r="C53" s="6" t="str">
        <f t="shared" si="13"/>
        <v xml:space="preserve"> </v>
      </c>
      <c r="D53" s="167" t="str">
        <f t="shared" si="14"/>
        <v xml:space="preserve"> </v>
      </c>
      <c r="E53" s="13" t="str">
        <f t="shared" si="15"/>
        <v xml:space="preserve"> </v>
      </c>
      <c r="F53" s="7"/>
      <c r="G53" s="7"/>
      <c r="H53" s="7"/>
      <c r="I53" s="7"/>
      <c r="J53" s="201"/>
      <c r="K53" s="7"/>
      <c r="L53" s="7"/>
      <c r="M53" s="7"/>
      <c r="O53" s="45">
        <v>35</v>
      </c>
      <c r="P53" s="193">
        <f t="shared" si="12"/>
        <v>9.7588098516253829E-2</v>
      </c>
      <c r="Q53" s="193"/>
    </row>
    <row r="54" spans="3:17" x14ac:dyDescent="0.25">
      <c r="C54" s="6" t="str">
        <f t="shared" si="13"/>
        <v xml:space="preserve"> </v>
      </c>
      <c r="D54" s="167" t="str">
        <f t="shared" si="14"/>
        <v xml:space="preserve"> </v>
      </c>
      <c r="E54" s="13" t="str">
        <f t="shared" si="15"/>
        <v xml:space="preserve"> </v>
      </c>
      <c r="F54" s="7"/>
      <c r="G54" s="7"/>
      <c r="H54" s="7"/>
      <c r="I54" s="7"/>
      <c r="J54" s="201"/>
      <c r="K54" s="7"/>
      <c r="L54" s="7"/>
      <c r="M54" s="7"/>
      <c r="O54" s="45">
        <v>36</v>
      </c>
      <c r="P54" s="193" t="e">
        <f t="shared" si="12"/>
        <v>#VALUE!</v>
      </c>
    </row>
    <row r="55" spans="3:17" x14ac:dyDescent="0.25">
      <c r="C55" s="6" t="str">
        <f t="shared" si="13"/>
        <v xml:space="preserve"> </v>
      </c>
      <c r="D55" s="167" t="str">
        <f t="shared" si="14"/>
        <v xml:space="preserve"> </v>
      </c>
      <c r="E55" s="13" t="str">
        <f t="shared" si="15"/>
        <v xml:space="preserve"> </v>
      </c>
      <c r="F55" s="7"/>
      <c r="G55" s="7"/>
      <c r="H55" s="7"/>
      <c r="I55" s="7"/>
      <c r="J55" s="201"/>
      <c r="K55" s="7"/>
      <c r="L55" s="7"/>
      <c r="M55" s="7"/>
      <c r="O55" s="45">
        <v>37</v>
      </c>
      <c r="P55" s="193" t="e">
        <f t="shared" si="12"/>
        <v>#VALUE!</v>
      </c>
    </row>
    <row r="56" spans="3:17" x14ac:dyDescent="0.25">
      <c r="C56" s="6" t="str">
        <f t="shared" si="13"/>
        <v xml:space="preserve"> </v>
      </c>
      <c r="D56" s="167" t="str">
        <f t="shared" si="14"/>
        <v xml:space="preserve"> </v>
      </c>
      <c r="E56" s="13" t="str">
        <f t="shared" si="15"/>
        <v xml:space="preserve"> </v>
      </c>
      <c r="F56" s="7"/>
      <c r="G56" s="7"/>
      <c r="H56" s="7"/>
      <c r="I56" s="7"/>
      <c r="J56" s="201"/>
      <c r="K56" s="7"/>
      <c r="L56" s="7"/>
      <c r="M56" s="7"/>
      <c r="O56" s="45">
        <v>38</v>
      </c>
      <c r="P56" s="193" t="e">
        <f t="shared" si="12"/>
        <v>#VALUE!</v>
      </c>
    </row>
    <row r="57" spans="3:17" x14ac:dyDescent="0.25">
      <c r="C57" s="6" t="str">
        <f t="shared" si="13"/>
        <v xml:space="preserve"> </v>
      </c>
      <c r="D57" s="167" t="str">
        <f t="shared" si="14"/>
        <v xml:space="preserve"> </v>
      </c>
      <c r="E57" s="13" t="str">
        <f t="shared" si="15"/>
        <v xml:space="preserve"> </v>
      </c>
      <c r="F57" s="7"/>
      <c r="G57" s="7"/>
      <c r="H57" s="7"/>
      <c r="I57" s="7"/>
      <c r="J57" s="201"/>
      <c r="K57" s="7"/>
      <c r="L57" s="7"/>
      <c r="M57" s="7"/>
      <c r="O57" s="45">
        <v>39</v>
      </c>
      <c r="P57" s="193" t="e">
        <f t="shared" si="12"/>
        <v>#VALUE!</v>
      </c>
    </row>
    <row r="58" spans="3:17" x14ac:dyDescent="0.25">
      <c r="C58" s="6" t="str">
        <f t="shared" si="13"/>
        <v xml:space="preserve"> </v>
      </c>
      <c r="D58" s="167" t="str">
        <f t="shared" si="14"/>
        <v xml:space="preserve"> </v>
      </c>
      <c r="E58" s="13" t="str">
        <f t="shared" si="15"/>
        <v xml:space="preserve"> </v>
      </c>
      <c r="F58" s="7"/>
      <c r="G58" s="7"/>
      <c r="H58" s="7"/>
      <c r="I58" s="7"/>
      <c r="J58" s="201"/>
      <c r="K58" s="7"/>
      <c r="L58" s="7"/>
      <c r="M58" s="7"/>
      <c r="O58" s="45">
        <v>40</v>
      </c>
      <c r="P58" s="193" t="e">
        <f t="shared" si="12"/>
        <v>#VALUE!</v>
      </c>
    </row>
    <row r="59" spans="3:17" x14ac:dyDescent="0.25">
      <c r="F59" s="7"/>
      <c r="G59" s="7"/>
      <c r="H59" s="7"/>
      <c r="I59" s="7"/>
      <c r="J59" s="201"/>
      <c r="K59" s="7"/>
      <c r="L59" s="7"/>
      <c r="M59" s="7"/>
      <c r="O59" s="45">
        <v>41</v>
      </c>
      <c r="P59" s="193" t="e">
        <f t="shared" si="12"/>
        <v>#VALUE!</v>
      </c>
    </row>
    <row r="60" spans="3:17" x14ac:dyDescent="0.25">
      <c r="F60" s="7"/>
      <c r="G60" s="202"/>
      <c r="H60" s="7"/>
      <c r="I60" s="7"/>
      <c r="J60" s="201"/>
      <c r="K60" s="7"/>
      <c r="L60" s="7"/>
      <c r="M60" s="7"/>
      <c r="O60" s="45">
        <v>42</v>
      </c>
      <c r="P60" s="193" t="e">
        <f t="shared" si="12"/>
        <v>#VALUE!</v>
      </c>
    </row>
    <row r="61" spans="3:17" x14ac:dyDescent="0.25">
      <c r="F61" s="7"/>
      <c r="G61" s="202"/>
      <c r="H61" s="7"/>
      <c r="I61" s="202"/>
      <c r="J61" s="201"/>
      <c r="K61" s="7"/>
      <c r="L61" s="7"/>
      <c r="M61" s="7"/>
      <c r="O61" s="45">
        <v>43</v>
      </c>
      <c r="P61" s="193" t="e">
        <f t="shared" si="12"/>
        <v>#VALUE!</v>
      </c>
    </row>
    <row r="62" spans="3:17" x14ac:dyDescent="0.25">
      <c r="F62" s="7"/>
      <c r="G62" s="7"/>
      <c r="H62" s="7"/>
      <c r="I62" s="7"/>
      <c r="J62" s="201"/>
      <c r="K62" s="7"/>
      <c r="L62" s="7"/>
      <c r="M62" s="7"/>
      <c r="O62" s="45">
        <v>44</v>
      </c>
      <c r="P62" s="193" t="e">
        <f t="shared" si="12"/>
        <v>#VALUE!</v>
      </c>
    </row>
    <row r="63" spans="3:17" x14ac:dyDescent="0.25">
      <c r="F63" s="7"/>
      <c r="G63" s="7"/>
      <c r="H63" s="7"/>
      <c r="I63" s="7"/>
      <c r="J63" s="201"/>
      <c r="K63" s="7"/>
      <c r="L63" s="7"/>
      <c r="M63" s="7"/>
      <c r="O63" s="45">
        <v>45</v>
      </c>
      <c r="P63" s="193" t="e">
        <f t="shared" si="12"/>
        <v>#VALUE!</v>
      </c>
    </row>
    <row r="64" spans="3:17" x14ac:dyDescent="0.25">
      <c r="F64" s="7"/>
      <c r="G64" s="7"/>
      <c r="H64" s="7"/>
      <c r="I64" s="7"/>
      <c r="J64" s="201"/>
      <c r="K64" s="7"/>
      <c r="L64" s="7"/>
      <c r="M64" s="7"/>
      <c r="O64" s="45">
        <v>46</v>
      </c>
      <c r="P64" s="193" t="e">
        <f t="shared" si="12"/>
        <v>#VALUE!</v>
      </c>
    </row>
    <row r="65" spans="6:16" x14ac:dyDescent="0.25">
      <c r="F65" s="7"/>
      <c r="G65" s="7"/>
      <c r="H65" s="7"/>
      <c r="I65" s="7"/>
      <c r="J65" s="201"/>
      <c r="K65" s="7"/>
      <c r="L65" s="7"/>
      <c r="M65" s="7"/>
      <c r="O65" s="45">
        <v>47</v>
      </c>
      <c r="P65" s="193" t="e">
        <f t="shared" si="12"/>
        <v>#NUM!</v>
      </c>
    </row>
    <row r="66" spans="6:16" x14ac:dyDescent="0.25">
      <c r="F66" s="7"/>
      <c r="G66" s="7"/>
      <c r="H66" s="7"/>
      <c r="I66" s="7"/>
      <c r="J66" s="201"/>
      <c r="K66" s="7"/>
      <c r="L66" s="7"/>
      <c r="M66" s="7"/>
      <c r="O66" s="45">
        <v>48</v>
      </c>
      <c r="P66" s="193" t="e">
        <f t="shared" si="12"/>
        <v>#NUM!</v>
      </c>
    </row>
    <row r="67" spans="6:16" x14ac:dyDescent="0.25">
      <c r="F67" s="7"/>
      <c r="G67" s="7"/>
      <c r="H67" s="7"/>
      <c r="I67" s="7"/>
      <c r="J67" s="201"/>
      <c r="K67" s="7"/>
      <c r="L67" s="7"/>
      <c r="M67" s="7"/>
      <c r="O67" s="45">
        <v>49</v>
      </c>
      <c r="P67" s="193" t="e">
        <f t="shared" si="12"/>
        <v>#NUM!</v>
      </c>
    </row>
    <row r="68" spans="6:16" x14ac:dyDescent="0.25">
      <c r="F68" s="7"/>
      <c r="G68" s="7"/>
      <c r="H68" s="7"/>
      <c r="I68" s="7"/>
      <c r="J68" s="201"/>
      <c r="K68" s="7"/>
      <c r="L68" s="7"/>
      <c r="M68" s="7"/>
      <c r="O68" s="45">
        <v>50</v>
      </c>
      <c r="P68" s="193" t="e">
        <f t="shared" si="12"/>
        <v>#NUM!</v>
      </c>
    </row>
    <row r="69" spans="6:16" x14ac:dyDescent="0.25">
      <c r="O69" s="45">
        <v>51</v>
      </c>
      <c r="P69" s="193" t="e">
        <f t="shared" si="12"/>
        <v>#NUM!</v>
      </c>
    </row>
    <row r="70" spans="6:16" x14ac:dyDescent="0.25">
      <c r="O70" s="45">
        <v>52</v>
      </c>
      <c r="P70" s="193" t="e">
        <f t="shared" si="12"/>
        <v>#NUM!</v>
      </c>
    </row>
    <row r="71" spans="6:16" x14ac:dyDescent="0.25">
      <c r="O71" s="45">
        <v>53</v>
      </c>
      <c r="P71" s="193" t="e">
        <f t="shared" si="12"/>
        <v>#NUM!</v>
      </c>
    </row>
    <row r="72" spans="6:16" x14ac:dyDescent="0.25">
      <c r="O72" s="45">
        <v>54</v>
      </c>
      <c r="P72" s="193" t="e">
        <f t="shared" si="12"/>
        <v>#NUM!</v>
      </c>
    </row>
    <row r="73" spans="6:16" x14ac:dyDescent="0.25">
      <c r="O73" s="45">
        <v>55</v>
      </c>
      <c r="P73" s="193" t="e">
        <f t="shared" si="12"/>
        <v>#NUM!</v>
      </c>
    </row>
    <row r="74" spans="6:16" x14ac:dyDescent="0.25">
      <c r="O74" s="45">
        <v>56</v>
      </c>
      <c r="P74" s="193" t="e">
        <f t="shared" si="12"/>
        <v>#NUM!</v>
      </c>
    </row>
    <row r="75" spans="6:16" x14ac:dyDescent="0.25">
      <c r="O75" s="45">
        <v>57</v>
      </c>
      <c r="P75" s="193" t="e">
        <f t="shared" si="12"/>
        <v>#NUM!</v>
      </c>
    </row>
    <row r="76" spans="6:16" x14ac:dyDescent="0.25">
      <c r="O76" s="45">
        <v>58</v>
      </c>
      <c r="P76" s="193" t="e">
        <f t="shared" si="12"/>
        <v>#NUM!</v>
      </c>
    </row>
    <row r="77" spans="6:16" x14ac:dyDescent="0.25">
      <c r="O77" s="45">
        <v>59</v>
      </c>
      <c r="P77" s="193" t="e">
        <f t="shared" si="12"/>
        <v>#NUM!</v>
      </c>
    </row>
    <row r="85" spans="15:16" x14ac:dyDescent="0.25">
      <c r="O85" s="194"/>
      <c r="P85" s="50"/>
    </row>
    <row r="86" spans="15:16" x14ac:dyDescent="0.25">
      <c r="O86" s="194"/>
      <c r="P86" s="50"/>
    </row>
  </sheetData>
  <phoneticPr fontId="37"/>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2"/>
  <sheetViews>
    <sheetView zoomScale="85" zoomScaleNormal="85" workbookViewId="0">
      <selection activeCell="C34" sqref="C34"/>
    </sheetView>
  </sheetViews>
  <sheetFormatPr defaultRowHeight="13.5" x14ac:dyDescent="0.15"/>
  <cols>
    <col min="2" max="2" width="11.375" customWidth="1"/>
    <col min="3" max="3" width="12.75" customWidth="1"/>
    <col min="4" max="4" width="12.75" style="42" customWidth="1"/>
    <col min="5" max="8" width="12.75" customWidth="1"/>
    <col min="9" max="9" width="16.75" customWidth="1"/>
    <col min="10" max="10" width="12.75" style="4" customWidth="1"/>
    <col min="13" max="13" width="14.125" customWidth="1"/>
    <col min="14" max="14" width="14.125" style="44" customWidth="1"/>
    <col min="15" max="15" width="17.875" customWidth="1"/>
  </cols>
  <sheetData>
    <row r="1" spans="1:24" ht="14.25" x14ac:dyDescent="0.2">
      <c r="A1" t="s">
        <v>155</v>
      </c>
      <c r="C1" s="2" t="s">
        <v>16</v>
      </c>
      <c r="D1" s="161"/>
      <c r="E1" s="2"/>
      <c r="G1" s="3" t="s">
        <v>17</v>
      </c>
      <c r="H1" s="3" t="s">
        <v>1</v>
      </c>
      <c r="I1" s="157">
        <v>3.5080100000000003E-5</v>
      </c>
      <c r="J1" s="42"/>
      <c r="K1" s="5" t="s">
        <v>18</v>
      </c>
      <c r="L1" s="6"/>
      <c r="M1" s="5">
        <v>35</v>
      </c>
      <c r="N1" s="43"/>
    </row>
    <row r="2" spans="1:24" ht="14.25" x14ac:dyDescent="0.2">
      <c r="A2" t="s">
        <v>153</v>
      </c>
      <c r="B2">
        <v>0</v>
      </c>
      <c r="C2" s="8" t="s">
        <v>19</v>
      </c>
      <c r="D2" s="162"/>
      <c r="E2" s="11">
        <v>3</v>
      </c>
      <c r="F2" s="9"/>
      <c r="G2" s="10"/>
      <c r="H2" s="3" t="s">
        <v>2</v>
      </c>
      <c r="I2" s="157">
        <v>2.8784510000000001</v>
      </c>
      <c r="K2" s="5" t="s">
        <v>20</v>
      </c>
      <c r="L2" s="6"/>
      <c r="M2" s="5">
        <v>10</v>
      </c>
      <c r="N2" s="43"/>
    </row>
    <row r="3" spans="1:24" ht="14.25" x14ac:dyDescent="0.2">
      <c r="A3" t="s">
        <v>154</v>
      </c>
      <c r="B3">
        <v>34</v>
      </c>
      <c r="C3" s="8" t="s">
        <v>21</v>
      </c>
      <c r="D3" s="162"/>
      <c r="E3" s="11">
        <v>-0.28799999999999998</v>
      </c>
      <c r="F3" s="7"/>
      <c r="G3" s="10"/>
      <c r="H3" s="3" t="s">
        <v>22</v>
      </c>
      <c r="I3" s="147">
        <v>270.60000000000002</v>
      </c>
      <c r="J3" t="s">
        <v>5</v>
      </c>
      <c r="K3" s="5" t="s">
        <v>23</v>
      </c>
      <c r="L3" s="6"/>
      <c r="M3" s="5">
        <v>35</v>
      </c>
      <c r="N3" s="43"/>
    </row>
    <row r="4" spans="1:24" ht="14.25" x14ac:dyDescent="0.2">
      <c r="A4" t="s">
        <v>151</v>
      </c>
      <c r="B4">
        <v>33</v>
      </c>
      <c r="C4" s="8" t="s">
        <v>95</v>
      </c>
      <c r="D4" s="42" t="s">
        <v>5</v>
      </c>
      <c r="F4" s="7"/>
      <c r="G4" s="10"/>
      <c r="H4" s="3" t="s">
        <v>24</v>
      </c>
      <c r="I4" s="147">
        <v>0.22</v>
      </c>
      <c r="J4" t="s">
        <v>5</v>
      </c>
      <c r="K4" s="5" t="s">
        <v>15</v>
      </c>
      <c r="L4" s="6"/>
      <c r="M4" s="5">
        <v>0.5</v>
      </c>
      <c r="N4" s="43"/>
    </row>
    <row r="5" spans="1:24" ht="14.25" x14ac:dyDescent="0.2">
      <c r="A5" t="s">
        <v>152</v>
      </c>
      <c r="B5">
        <v>270.60000000000002</v>
      </c>
      <c r="C5" s="11" t="s">
        <v>8</v>
      </c>
      <c r="D5" s="163" t="s">
        <v>140</v>
      </c>
      <c r="E5" s="12"/>
      <c r="F5" s="7"/>
      <c r="G5" s="10"/>
      <c r="H5" s="3" t="s">
        <v>7</v>
      </c>
      <c r="I5" s="147">
        <v>-0.65</v>
      </c>
      <c r="J5" t="s">
        <v>5</v>
      </c>
      <c r="K5" s="5"/>
      <c r="L5" s="6"/>
      <c r="M5" s="5"/>
      <c r="N5" s="43"/>
      <c r="O5" t="s">
        <v>5</v>
      </c>
    </row>
    <row r="6" spans="1:24" ht="14.25" x14ac:dyDescent="0.2">
      <c r="A6" t="s">
        <v>150</v>
      </c>
      <c r="B6">
        <v>-0.12</v>
      </c>
      <c r="C6" s="11" t="s">
        <v>5</v>
      </c>
      <c r="D6" s="163"/>
      <c r="E6" s="12"/>
      <c r="F6" s="7"/>
      <c r="G6" s="13"/>
      <c r="H6" s="3" t="s">
        <v>25</v>
      </c>
      <c r="I6" s="156">
        <f>120/365.25</f>
        <v>0.32854209445585214</v>
      </c>
      <c r="L6" s="15" t="s">
        <v>139</v>
      </c>
      <c r="M6" s="40">
        <v>0.1</v>
      </c>
      <c r="N6" s="14" t="s">
        <v>37</v>
      </c>
      <c r="O6" s="40">
        <f>4.899*tmax^-0.916</f>
        <v>0.18868662257633637</v>
      </c>
      <c r="P6" t="s">
        <v>5</v>
      </c>
      <c r="Q6" t="s">
        <v>5</v>
      </c>
    </row>
    <row r="7" spans="1:24" ht="14.25" x14ac:dyDescent="0.2">
      <c r="A7" t="s">
        <v>24</v>
      </c>
      <c r="B7">
        <v>0.22</v>
      </c>
      <c r="C7" s="11" t="s">
        <v>148</v>
      </c>
      <c r="D7" s="163" t="s">
        <v>5</v>
      </c>
      <c r="E7" s="12"/>
      <c r="F7" s="7">
        <f>cum_L</f>
        <v>15.019242436516663</v>
      </c>
      <c r="G7" t="s">
        <v>5</v>
      </c>
      <c r="H7" s="155"/>
      <c r="I7" s="147"/>
      <c r="N7" s="14" t="s">
        <v>5</v>
      </c>
      <c r="O7" t="s">
        <v>158</v>
      </c>
      <c r="P7">
        <f>EXP(1.46+-1.01*LN(tmax))</f>
        <v>0.11873020530810875</v>
      </c>
    </row>
    <row r="8" spans="1:24" ht="14.25" x14ac:dyDescent="0.2">
      <c r="A8" t="s">
        <v>160</v>
      </c>
      <c r="B8">
        <v>5.84</v>
      </c>
      <c r="C8" s="11"/>
      <c r="D8" s="163" t="s">
        <v>5</v>
      </c>
      <c r="E8" s="12"/>
      <c r="F8" s="7"/>
      <c r="K8" s="1" t="s">
        <v>26</v>
      </c>
      <c r="L8" s="1"/>
      <c r="M8" s="16">
        <f>M6</f>
        <v>0.1</v>
      </c>
    </row>
    <row r="9" spans="1:24" ht="14.25" x14ac:dyDescent="0.2">
      <c r="A9" t="s">
        <v>161</v>
      </c>
      <c r="B9">
        <v>0.06</v>
      </c>
      <c r="C9" s="17"/>
      <c r="D9" s="164"/>
      <c r="E9" s="18"/>
      <c r="F9" s="19" t="s">
        <v>8</v>
      </c>
      <c r="G9" s="20" t="s">
        <v>27</v>
      </c>
      <c r="H9" s="21"/>
      <c r="I9" s="22" t="s">
        <v>28</v>
      </c>
      <c r="J9" s="23" t="s">
        <v>29</v>
      </c>
      <c r="L9" s="82"/>
      <c r="M9" s="82"/>
      <c r="N9" s="82"/>
      <c r="O9" s="112"/>
    </row>
    <row r="10" spans="1:24" ht="14.25" x14ac:dyDescent="0.2">
      <c r="C10" s="24" t="s">
        <v>30</v>
      </c>
      <c r="D10" s="165"/>
      <c r="E10" s="25" t="s">
        <v>31</v>
      </c>
      <c r="F10" s="26" t="s">
        <v>32</v>
      </c>
      <c r="G10" s="26" t="s">
        <v>33</v>
      </c>
      <c r="H10" s="27" t="s">
        <v>34</v>
      </c>
      <c r="I10" s="28" t="s">
        <v>35</v>
      </c>
      <c r="J10" s="29" t="s">
        <v>36</v>
      </c>
      <c r="L10" s="82"/>
      <c r="M10" s="82"/>
      <c r="N10" s="103"/>
      <c r="O10" s="82"/>
    </row>
    <row r="11" spans="1:24" ht="15" thickBot="1" x14ac:dyDescent="0.25">
      <c r="C11" s="138"/>
      <c r="D11" s="166"/>
      <c r="E11" s="139"/>
      <c r="F11" s="19" t="s">
        <v>136</v>
      </c>
      <c r="G11" s="19" t="s">
        <v>138</v>
      </c>
      <c r="H11" s="140" t="s">
        <v>137</v>
      </c>
      <c r="I11" s="141"/>
      <c r="J11" s="29"/>
      <c r="L11" s="82"/>
      <c r="M11" s="82">
        <f>target_M-0.05</f>
        <v>0.05</v>
      </c>
      <c r="N11" s="103"/>
      <c r="O11" s="82"/>
      <c r="W11" t="s">
        <v>156</v>
      </c>
      <c r="X11" t="s">
        <v>157</v>
      </c>
    </row>
    <row r="12" spans="1:24" x14ac:dyDescent="0.15">
      <c r="C12" s="6">
        <v>0</v>
      </c>
      <c r="D12" s="167">
        <f>(L1_^p+(L2_^p-L1_^p)*(1-EXP(-k*((C12+offset-shift)-A1_)))/(1-EXP(-k*(A2_-A1_))))^(1/p)</f>
        <v>35.36307336354951</v>
      </c>
      <c r="E12" s="13">
        <f t="shared" ref="E12:E47" si="0">IF(C12&gt;tmax," ",a*(D12)^b)</f>
        <v>1.0057409296356601</v>
      </c>
      <c r="F12" s="30">
        <f>IF(C12&gt;tmax," ",alpha*E12^beta)</f>
        <v>2.9950580953886958</v>
      </c>
      <c r="G12" s="30" t="str">
        <f>IF(OR(C12&lt;full_sel_age,C12&gt;tmax),"",F12)</f>
        <v/>
      </c>
      <c r="H12" s="31">
        <f t="shared" ref="H12:H58" si="1">IF(C12&gt;tmax,"",F12*cum_M/cum_L)</f>
        <v>0.51847828416948061</v>
      </c>
      <c r="I12" s="32" t="str">
        <f>IF(OR(C12&lt;plus_age,C12&gt;tmax),"",IF(C12=plus_age,1,I10*EXP(-H10)))</f>
        <v/>
      </c>
      <c r="J12" s="211">
        <f>IF(C12&lt;plus_age,H12,plus_m)</f>
        <v>0.51847828416948061</v>
      </c>
      <c r="K12" t="str">
        <f t="shared" ref="K12:K23" si="2">IF(C12&gt;=full_sel_age,J12,"")</f>
        <v/>
      </c>
      <c r="L12" s="82"/>
      <c r="M12" s="153">
        <f>target_M+0.05</f>
        <v>0.15000000000000002</v>
      </c>
      <c r="N12" s="153"/>
      <c r="O12" s="9"/>
      <c r="W12">
        <v>0.14000000000000001</v>
      </c>
    </row>
    <row r="13" spans="1:24" x14ac:dyDescent="0.15">
      <c r="C13" s="6">
        <f t="shared" ref="C13:C38" si="3">IF(C12&lt;tmax,C12+1," ")</f>
        <v>1</v>
      </c>
      <c r="D13" s="167">
        <f t="shared" ref="D13:D47" si="4">(L1_^p+(L2_^p-L1_^p)*(1-EXP(-k*((C13+offset-shift)-A1_)))/(1-EXP(-k*(A2_-A1_))))^(1/p)</f>
        <v>50.922390551120031</v>
      </c>
      <c r="E13" s="13">
        <f t="shared" si="0"/>
        <v>2.87285771596519</v>
      </c>
      <c r="F13" s="30">
        <f t="shared" ref="F13:F58" si="5">IF(C13&gt;tmax," ",alpha*E13^beta)</f>
        <v>2.2137409000404529</v>
      </c>
      <c r="G13" s="30" t="str">
        <f t="shared" ref="G13:G58" si="6">IF(OR(C13&lt;full_sel_age,C13&gt;tmax),"",F13)</f>
        <v/>
      </c>
      <c r="H13" s="31">
        <f t="shared" si="1"/>
        <v>0.38322347910911508</v>
      </c>
      <c r="I13" s="32" t="str">
        <f t="shared" ref="I13:I30" si="7">IF(OR(C13&lt;plus_age,C13&gt;tmax),"",IF(C13=plus_age,1,I12*EXP(-H12)))</f>
        <v/>
      </c>
      <c r="J13" s="212">
        <f t="shared" ref="J13:J58" si="8">IF(C13&lt;plus_age,H13,plus_m)</f>
        <v>0.38322347910911508</v>
      </c>
      <c r="K13" t="str">
        <f t="shared" si="2"/>
        <v/>
      </c>
      <c r="L13" s="82"/>
      <c r="M13" s="153"/>
      <c r="N13" s="153"/>
      <c r="O13" s="9"/>
      <c r="P13" t="s">
        <v>5</v>
      </c>
      <c r="Q13" t="s">
        <v>5</v>
      </c>
      <c r="V13">
        <v>1</v>
      </c>
      <c r="W13">
        <v>0.14000000000000001</v>
      </c>
      <c r="X13">
        <v>0.49</v>
      </c>
    </row>
    <row r="14" spans="1:24" x14ac:dyDescent="0.15">
      <c r="C14" s="6">
        <f t="shared" si="3"/>
        <v>2</v>
      </c>
      <c r="D14" s="167">
        <f t="shared" si="4"/>
        <v>69.05655494855786</v>
      </c>
      <c r="E14" s="13">
        <f t="shared" si="0"/>
        <v>6.9043378006352656</v>
      </c>
      <c r="F14" s="30">
        <f t="shared" si="5"/>
        <v>1.7197056165149149</v>
      </c>
      <c r="G14" s="30" t="str">
        <f t="shared" si="6"/>
        <v/>
      </c>
      <c r="H14" s="31">
        <f t="shared" si="1"/>
        <v>0.29770040811564191</v>
      </c>
      <c r="I14" s="32" t="str">
        <f t="shared" si="7"/>
        <v/>
      </c>
      <c r="J14" s="212">
        <f t="shared" si="8"/>
        <v>0.29770040811564191</v>
      </c>
      <c r="K14" t="str">
        <f t="shared" si="2"/>
        <v/>
      </c>
      <c r="L14" s="82"/>
      <c r="M14" s="153"/>
      <c r="N14" s="153"/>
      <c r="O14" s="9"/>
      <c r="P14" t="s">
        <v>5</v>
      </c>
      <c r="Q14" t="s">
        <v>5</v>
      </c>
      <c r="V14">
        <v>2</v>
      </c>
      <c r="W14">
        <v>0.14000000000000001</v>
      </c>
      <c r="X14">
        <v>0.24</v>
      </c>
    </row>
    <row r="15" spans="1:24" x14ac:dyDescent="0.15">
      <c r="C15" s="6">
        <f t="shared" si="3"/>
        <v>3</v>
      </c>
      <c r="D15" s="167">
        <f t="shared" si="4"/>
        <v>88.917611017318748</v>
      </c>
      <c r="E15" s="13">
        <f t="shared" si="0"/>
        <v>14.293107622429364</v>
      </c>
      <c r="F15" s="30">
        <f t="shared" si="5"/>
        <v>1.3945843123922674</v>
      </c>
      <c r="G15" s="30" t="str">
        <f t="shared" si="6"/>
        <v/>
      </c>
      <c r="H15" s="31">
        <f t="shared" si="1"/>
        <v>0.24141824912580856</v>
      </c>
      <c r="I15" s="32" t="str">
        <f t="shared" si="7"/>
        <v/>
      </c>
      <c r="J15" s="212">
        <f t="shared" si="8"/>
        <v>0.24141824912580856</v>
      </c>
      <c r="K15" s="101" t="str">
        <f t="shared" si="2"/>
        <v/>
      </c>
      <c r="L15" s="82"/>
      <c r="M15" s="153"/>
      <c r="N15" s="153"/>
      <c r="O15" s="9"/>
      <c r="V15">
        <v>3</v>
      </c>
      <c r="W15">
        <v>0.14000000000000001</v>
      </c>
      <c r="X15">
        <v>0.24</v>
      </c>
    </row>
    <row r="16" spans="1:24" x14ac:dyDescent="0.15">
      <c r="C16" s="6">
        <f t="shared" si="3"/>
        <v>4</v>
      </c>
      <c r="D16" s="167">
        <f t="shared" si="4"/>
        <v>109.53793064983296</v>
      </c>
      <c r="E16" s="13">
        <f t="shared" si="0"/>
        <v>26.052379138399161</v>
      </c>
      <c r="F16" s="30">
        <f t="shared" si="5"/>
        <v>1.1731598908033003</v>
      </c>
      <c r="G16" s="30" t="str">
        <f t="shared" si="6"/>
        <v/>
      </c>
      <c r="H16" s="31">
        <f t="shared" si="1"/>
        <v>0.20308718825075456</v>
      </c>
      <c r="I16" s="32" t="str">
        <f t="shared" si="7"/>
        <v/>
      </c>
      <c r="J16" s="212">
        <f t="shared" si="8"/>
        <v>0.20308718825075456</v>
      </c>
      <c r="K16" s="101" t="str">
        <f t="shared" si="2"/>
        <v/>
      </c>
      <c r="L16" s="82"/>
      <c r="M16" s="153"/>
      <c r="N16" s="153"/>
      <c r="O16" s="9"/>
      <c r="V16">
        <v>4</v>
      </c>
      <c r="W16">
        <v>0.14000000000000001</v>
      </c>
      <c r="X16">
        <v>0.24</v>
      </c>
    </row>
    <row r="17" spans="1:24" x14ac:dyDescent="0.15">
      <c r="B17">
        <f>SUM(D16:D17)/2</f>
        <v>119.76698875126914</v>
      </c>
      <c r="C17" s="6">
        <f t="shared" si="3"/>
        <v>5</v>
      </c>
      <c r="D17" s="167">
        <f t="shared" si="4"/>
        <v>129.99604685270532</v>
      </c>
      <c r="E17" s="13">
        <f t="shared" si="0"/>
        <v>42.648637824632658</v>
      </c>
      <c r="F17" s="30">
        <f t="shared" si="5"/>
        <v>1.0179080930716871</v>
      </c>
      <c r="G17" s="30" t="str">
        <f t="shared" si="6"/>
        <v/>
      </c>
      <c r="H17" s="31">
        <f t="shared" si="1"/>
        <v>0.17621135374656022</v>
      </c>
      <c r="I17" s="32" t="str">
        <f t="shared" si="7"/>
        <v/>
      </c>
      <c r="J17" s="212">
        <f t="shared" si="8"/>
        <v>0.17621135374656022</v>
      </c>
      <c r="K17" s="101" t="str">
        <f t="shared" si="2"/>
        <v/>
      </c>
      <c r="L17" s="82"/>
      <c r="M17" s="153"/>
      <c r="N17" s="153"/>
      <c r="O17" s="9"/>
      <c r="V17">
        <v>5</v>
      </c>
      <c r="W17">
        <v>0.14000000000000001</v>
      </c>
      <c r="X17">
        <v>0.24</v>
      </c>
    </row>
    <row r="18" spans="1:24" x14ac:dyDescent="0.15">
      <c r="A18" t="s">
        <v>5</v>
      </c>
      <c r="C18" s="6">
        <f t="shared" si="3"/>
        <v>6</v>
      </c>
      <c r="D18" s="167">
        <f t="shared" si="4"/>
        <v>149.53238717968014</v>
      </c>
      <c r="E18" s="13">
        <f t="shared" si="0"/>
        <v>63.816021521973767</v>
      </c>
      <c r="F18" s="30">
        <f t="shared" si="5"/>
        <v>0.90636159241921543</v>
      </c>
      <c r="G18" s="30" t="str">
        <f t="shared" si="6"/>
        <v/>
      </c>
      <c r="H18" s="31">
        <f t="shared" si="1"/>
        <v>0.15690139833953576</v>
      </c>
      <c r="I18" s="32" t="str">
        <f t="shared" si="7"/>
        <v/>
      </c>
      <c r="J18" s="212">
        <f t="shared" si="8"/>
        <v>0.15690139833953576</v>
      </c>
      <c r="K18" s="101" t="str">
        <f t="shared" si="2"/>
        <v/>
      </c>
      <c r="L18" s="82"/>
      <c r="M18" s="204">
        <f>Summary_NewMvector!R31</f>
        <v>2.8486088959430635E-3</v>
      </c>
      <c r="N18" s="153"/>
      <c r="O18" s="9"/>
      <c r="V18">
        <v>6</v>
      </c>
      <c r="W18">
        <v>0.14000000000000001</v>
      </c>
      <c r="X18">
        <v>0.2</v>
      </c>
    </row>
    <row r="19" spans="1:24" x14ac:dyDescent="0.15">
      <c r="C19" s="6">
        <f t="shared" si="3"/>
        <v>7</v>
      </c>
      <c r="D19" s="167">
        <f t="shared" si="4"/>
        <v>167.60322237099862</v>
      </c>
      <c r="E19" s="13">
        <f t="shared" si="0"/>
        <v>88.623442991927519</v>
      </c>
      <c r="F19" s="30">
        <f t="shared" si="5"/>
        <v>0.82456947347036669</v>
      </c>
      <c r="G19" s="30" t="str">
        <f t="shared" si="6"/>
        <v/>
      </c>
      <c r="H19" s="31">
        <f>IF(C19&gt;tmax,"",F19*cum_M/cum_L)</f>
        <v>0.14274226147455232</v>
      </c>
      <c r="I19" s="32" t="str">
        <f t="shared" si="7"/>
        <v/>
      </c>
      <c r="J19" s="212">
        <f t="shared" si="8"/>
        <v>0.14274226147455232</v>
      </c>
      <c r="K19" s="101" t="str">
        <f t="shared" si="2"/>
        <v/>
      </c>
      <c r="L19" s="82"/>
      <c r="M19" s="153"/>
      <c r="N19" s="153"/>
      <c r="O19" s="9"/>
      <c r="V19">
        <v>7</v>
      </c>
      <c r="W19">
        <v>0.14000000000000001</v>
      </c>
      <c r="X19">
        <v>0.17499999999999999</v>
      </c>
    </row>
    <row r="20" spans="1:24" x14ac:dyDescent="0.15">
      <c r="C20" s="6">
        <f t="shared" si="3"/>
        <v>8</v>
      </c>
      <c r="D20" s="167">
        <f t="shared" si="4"/>
        <v>183.88290716193168</v>
      </c>
      <c r="E20" s="13">
        <f t="shared" si="0"/>
        <v>115.72632677800127</v>
      </c>
      <c r="F20" s="30">
        <f t="shared" si="5"/>
        <v>0.76357691526101967</v>
      </c>
      <c r="G20" s="30" t="str">
        <f t="shared" si="6"/>
        <v/>
      </c>
      <c r="H20" s="31">
        <f t="shared" si="1"/>
        <v>0.13218376280096134</v>
      </c>
      <c r="I20" s="32" t="str">
        <f t="shared" si="7"/>
        <v/>
      </c>
      <c r="J20" s="212">
        <f t="shared" si="8"/>
        <v>0.13218376280096134</v>
      </c>
      <c r="K20" s="101" t="str">
        <f t="shared" si="2"/>
        <v/>
      </c>
      <c r="L20" s="82"/>
      <c r="M20" s="153"/>
      <c r="N20" s="153"/>
      <c r="O20" s="9"/>
      <c r="V20">
        <v>8</v>
      </c>
      <c r="W20">
        <v>0.14000000000000001</v>
      </c>
      <c r="X20">
        <v>0.15</v>
      </c>
    </row>
    <row r="21" spans="1:24" x14ac:dyDescent="0.15">
      <c r="C21" s="6">
        <f t="shared" si="3"/>
        <v>9</v>
      </c>
      <c r="D21" s="167">
        <f t="shared" si="4"/>
        <v>198.2334947051672</v>
      </c>
      <c r="E21" s="13">
        <f t="shared" si="0"/>
        <v>143.67207460020708</v>
      </c>
      <c r="F21" s="30">
        <f t="shared" si="5"/>
        <v>0.71746053029504342</v>
      </c>
      <c r="G21" s="30" t="str">
        <f t="shared" si="6"/>
        <v/>
      </c>
      <c r="H21" s="31">
        <f t="shared" si="1"/>
        <v>0.12420049723891036</v>
      </c>
      <c r="I21" s="32" t="str">
        <f t="shared" si="7"/>
        <v/>
      </c>
      <c r="J21" s="212">
        <f t="shared" si="8"/>
        <v>0.12420049723891036</v>
      </c>
      <c r="K21" s="101" t="str">
        <f t="shared" si="2"/>
        <v/>
      </c>
      <c r="L21" s="82"/>
      <c r="M21" s="153"/>
      <c r="N21" s="153"/>
      <c r="O21" s="9"/>
      <c r="P21" s="82"/>
      <c r="V21">
        <v>9</v>
      </c>
      <c r="W21">
        <v>0.14000000000000001</v>
      </c>
      <c r="X21">
        <v>0.125</v>
      </c>
    </row>
    <row r="22" spans="1:24" x14ac:dyDescent="0.15">
      <c r="C22" s="6">
        <f t="shared" si="3"/>
        <v>10</v>
      </c>
      <c r="D22" s="167">
        <f t="shared" si="4"/>
        <v>210.66011566192304</v>
      </c>
      <c r="E22" s="13">
        <f t="shared" si="0"/>
        <v>171.15069631941589</v>
      </c>
      <c r="F22" s="30">
        <f t="shared" si="5"/>
        <v>0.68219447477151829</v>
      </c>
      <c r="G22" s="30">
        <f t="shared" si="6"/>
        <v>0.68219447477151829</v>
      </c>
      <c r="H22" s="31">
        <f t="shared" si="1"/>
        <v>0.11809554589074961</v>
      </c>
      <c r="I22" s="32" t="str">
        <f t="shared" si="7"/>
        <v/>
      </c>
      <c r="J22" s="212">
        <f t="shared" si="8"/>
        <v>0.11809554589074961</v>
      </c>
      <c r="K22" s="101">
        <f t="shared" si="2"/>
        <v>0.11809554589074961</v>
      </c>
      <c r="L22" s="82"/>
      <c r="M22" s="153"/>
      <c r="N22" s="153"/>
      <c r="O22" s="9"/>
      <c r="P22" s="82"/>
      <c r="V22">
        <v>10</v>
      </c>
      <c r="W22">
        <v>0.14000000000000001</v>
      </c>
      <c r="X22">
        <v>0.1</v>
      </c>
    </row>
    <row r="23" spans="1:24" x14ac:dyDescent="0.15">
      <c r="C23" s="6">
        <f t="shared" si="3"/>
        <v>11</v>
      </c>
      <c r="D23" s="167">
        <f t="shared" si="4"/>
        <v>221.26528627493616</v>
      </c>
      <c r="E23" s="13">
        <f t="shared" si="0"/>
        <v>197.14184188739878</v>
      </c>
      <c r="F23" s="30">
        <f t="shared" si="5"/>
        <v>0.6549753528104546</v>
      </c>
      <c r="G23" s="30">
        <f t="shared" si="6"/>
        <v>0.6549753528104546</v>
      </c>
      <c r="H23" s="31">
        <f t="shared" si="1"/>
        <v>0.11338360936013597</v>
      </c>
      <c r="I23" s="32" t="str">
        <f t="shared" si="7"/>
        <v/>
      </c>
      <c r="J23" s="212">
        <f t="shared" si="8"/>
        <v>0.11338360936013597</v>
      </c>
      <c r="K23" s="101">
        <f t="shared" si="2"/>
        <v>0.11338360936013597</v>
      </c>
      <c r="L23" s="9"/>
      <c r="M23" s="153"/>
      <c r="N23" s="153"/>
      <c r="O23" s="154"/>
      <c r="P23" s="82"/>
      <c r="V23">
        <v>11</v>
      </c>
      <c r="W23">
        <v>0.14000000000000001</v>
      </c>
      <c r="X23">
        <v>0.1</v>
      </c>
    </row>
    <row r="24" spans="1:24" x14ac:dyDescent="0.15">
      <c r="C24" s="6">
        <f t="shared" si="3"/>
        <v>12</v>
      </c>
      <c r="D24" s="167">
        <f t="shared" si="4"/>
        <v>230.20947061321465</v>
      </c>
      <c r="E24" s="13">
        <f t="shared" si="0"/>
        <v>220.96153080381706</v>
      </c>
      <c r="F24" s="30">
        <f t="shared" si="5"/>
        <v>0.6338084920408823</v>
      </c>
      <c r="G24" s="30">
        <f t="shared" si="6"/>
        <v>0.6338084920408823</v>
      </c>
      <c r="H24" s="31">
        <f t="shared" si="1"/>
        <v>0.10971938739731027</v>
      </c>
      <c r="I24" s="32" t="str">
        <f t="shared" si="7"/>
        <v/>
      </c>
      <c r="J24" s="212">
        <f t="shared" si="8"/>
        <v>0.10971938739731027</v>
      </c>
      <c r="L24" s="9"/>
      <c r="M24" s="9"/>
      <c r="N24" s="104"/>
      <c r="O24" s="9"/>
      <c r="P24" s="82"/>
      <c r="V24">
        <v>12</v>
      </c>
      <c r="W24">
        <v>0.14000000000000001</v>
      </c>
      <c r="X24">
        <v>0.1</v>
      </c>
    </row>
    <row r="25" spans="1:24" x14ac:dyDescent="0.15">
      <c r="C25" s="6">
        <f t="shared" si="3"/>
        <v>13</v>
      </c>
      <c r="D25" s="167">
        <f t="shared" si="4"/>
        <v>237.68068644881029</v>
      </c>
      <c r="E25" s="13">
        <f t="shared" si="0"/>
        <v>242.23830572135046</v>
      </c>
      <c r="F25" s="30">
        <f t="shared" si="5"/>
        <v>0.61724747565894422</v>
      </c>
      <c r="G25" s="30">
        <f t="shared" si="6"/>
        <v>0.61724747565894422</v>
      </c>
      <c r="H25" s="31">
        <f t="shared" si="1"/>
        <v>0.10685248896517968</v>
      </c>
      <c r="I25" s="32" t="str">
        <f t="shared" si="7"/>
        <v/>
      </c>
      <c r="J25" s="212">
        <f t="shared" si="8"/>
        <v>0.10685248896517968</v>
      </c>
      <c r="L25" s="9"/>
      <c r="M25" s="9"/>
      <c r="N25" s="104"/>
      <c r="O25" s="82"/>
      <c r="P25" s="82"/>
      <c r="V25">
        <v>13</v>
      </c>
      <c r="W25">
        <v>0.14000000000000001</v>
      </c>
      <c r="X25">
        <v>0.1</v>
      </c>
    </row>
    <row r="26" spans="1:24" x14ac:dyDescent="0.15">
      <c r="C26" s="6">
        <f t="shared" si="3"/>
        <v>14</v>
      </c>
      <c r="D26" s="167">
        <f t="shared" si="4"/>
        <v>243.87314265619261</v>
      </c>
      <c r="E26" s="13">
        <f t="shared" si="0"/>
        <v>260.85271012789673</v>
      </c>
      <c r="F26" s="30">
        <f t="shared" si="5"/>
        <v>0.60422597754574614</v>
      </c>
      <c r="G26" s="30">
        <f t="shared" si="6"/>
        <v>0.60422597754574614</v>
      </c>
      <c r="H26" s="31">
        <f t="shared" si="1"/>
        <v>0.10459832100448412</v>
      </c>
      <c r="I26" s="32" t="str">
        <f t="shared" si="7"/>
        <v/>
      </c>
      <c r="J26" s="212">
        <f t="shared" si="8"/>
        <v>0.10459832100448412</v>
      </c>
      <c r="L26" s="9"/>
      <c r="M26" s="9"/>
      <c r="N26" s="104"/>
      <c r="O26" s="82"/>
      <c r="P26" s="82"/>
      <c r="V26">
        <v>14</v>
      </c>
      <c r="W26">
        <v>0.14000000000000001</v>
      </c>
      <c r="X26">
        <v>0.1</v>
      </c>
    </row>
    <row r="27" spans="1:24" x14ac:dyDescent="0.15">
      <c r="C27" s="6">
        <f t="shared" si="3"/>
        <v>15</v>
      </c>
      <c r="D27" s="167">
        <f t="shared" si="4"/>
        <v>248.97353047749453</v>
      </c>
      <c r="E27" s="13">
        <f t="shared" si="0"/>
        <v>276.86645065579546</v>
      </c>
      <c r="F27" s="30">
        <f t="shared" si="5"/>
        <v>0.59394659748618184</v>
      </c>
      <c r="G27" s="30">
        <f t="shared" si="6"/>
        <v>0.59394659748618184</v>
      </c>
      <c r="H27" s="31">
        <f t="shared" si="1"/>
        <v>0.1028188445583295</v>
      </c>
      <c r="I27" s="32" t="str">
        <f t="shared" si="7"/>
        <v/>
      </c>
      <c r="J27" s="212">
        <f t="shared" si="8"/>
        <v>0.1028188445583295</v>
      </c>
      <c r="L27" s="9"/>
      <c r="M27" s="9"/>
      <c r="N27" s="104"/>
      <c r="O27" s="82"/>
      <c r="P27" s="82"/>
      <c r="V27">
        <v>15</v>
      </c>
      <c r="W27">
        <v>0.14000000000000001</v>
      </c>
      <c r="X27">
        <v>0.1</v>
      </c>
    </row>
    <row r="28" spans="1:24" x14ac:dyDescent="0.15">
      <c r="C28" s="6">
        <f t="shared" si="3"/>
        <v>16</v>
      </c>
      <c r="D28" s="167">
        <f t="shared" si="4"/>
        <v>253.15316757529988</v>
      </c>
      <c r="E28" s="13">
        <f t="shared" si="0"/>
        <v>290.45715257558874</v>
      </c>
      <c r="F28" s="30">
        <f t="shared" si="5"/>
        <v>0.5858057321415937</v>
      </c>
      <c r="G28" s="30">
        <f t="shared" si="6"/>
        <v>0.5858057321415937</v>
      </c>
      <c r="H28" s="31">
        <f t="shared" si="1"/>
        <v>0.10140956909151454</v>
      </c>
      <c r="I28" s="32" t="str">
        <f t="shared" si="7"/>
        <v/>
      </c>
      <c r="J28" s="212">
        <f t="shared" si="8"/>
        <v>0.10140956909151454</v>
      </c>
      <c r="L28" s="9"/>
      <c r="M28" s="9"/>
      <c r="N28" s="104"/>
      <c r="O28" s="82"/>
      <c r="P28" s="82"/>
      <c r="V28">
        <v>16</v>
      </c>
      <c r="W28">
        <v>0.14000000000000001</v>
      </c>
      <c r="X28">
        <v>0.1</v>
      </c>
    </row>
    <row r="29" spans="1:24" x14ac:dyDescent="0.15">
      <c r="C29" s="6">
        <f t="shared" si="3"/>
        <v>17</v>
      </c>
      <c r="D29" s="167">
        <f t="shared" si="4"/>
        <v>256.56428075813568</v>
      </c>
      <c r="E29" s="13">
        <f t="shared" si="0"/>
        <v>301.86587078366614</v>
      </c>
      <c r="F29" s="30">
        <f t="shared" si="5"/>
        <v>0.57934173906223574</v>
      </c>
      <c r="G29" s="30">
        <f t="shared" si="6"/>
        <v>0.57934173906223574</v>
      </c>
      <c r="H29" s="31">
        <f t="shared" si="1"/>
        <v>0.10029057909735418</v>
      </c>
      <c r="I29" s="32" t="str">
        <f t="shared" si="7"/>
        <v/>
      </c>
      <c r="J29" s="212">
        <f t="shared" si="8"/>
        <v>0.10029057909735418</v>
      </c>
      <c r="L29" s="9"/>
      <c r="M29" s="9"/>
      <c r="N29" s="104"/>
      <c r="O29" s="82"/>
      <c r="P29" s="82"/>
      <c r="V29">
        <v>17</v>
      </c>
      <c r="W29">
        <v>0.14000000000000001</v>
      </c>
      <c r="X29">
        <v>0.1</v>
      </c>
    </row>
    <row r="30" spans="1:24" x14ac:dyDescent="0.15">
      <c r="C30" s="6">
        <f t="shared" si="3"/>
        <v>18</v>
      </c>
      <c r="D30" s="167">
        <f t="shared" si="4"/>
        <v>259.33901586017458</v>
      </c>
      <c r="E30" s="13">
        <f t="shared" si="0"/>
        <v>311.3588207498882</v>
      </c>
      <c r="F30" s="30">
        <f t="shared" si="5"/>
        <v>0.57419847758541165</v>
      </c>
      <c r="G30" s="30">
        <f t="shared" si="6"/>
        <v>0.57419847758541165</v>
      </c>
      <c r="H30" s="31">
        <f t="shared" si="1"/>
        <v>9.9400222616575246E-2</v>
      </c>
      <c r="I30" s="32" t="str">
        <f t="shared" si="7"/>
        <v/>
      </c>
      <c r="J30" s="212">
        <f t="shared" si="8"/>
        <v>9.9400222616575246E-2</v>
      </c>
      <c r="L30" s="9"/>
      <c r="M30" s="9"/>
      <c r="N30" s="104"/>
      <c r="O30" s="82"/>
      <c r="P30" s="82"/>
      <c r="V30">
        <v>18</v>
      </c>
      <c r="W30">
        <v>0.14000000000000001</v>
      </c>
      <c r="X30">
        <v>0.1</v>
      </c>
    </row>
    <row r="31" spans="1:24" x14ac:dyDescent="0.15">
      <c r="C31" s="6">
        <f t="shared" si="3"/>
        <v>19</v>
      </c>
      <c r="D31" s="167">
        <f t="shared" si="4"/>
        <v>261.59011221185176</v>
      </c>
      <c r="E31" s="13">
        <f t="shared" si="0"/>
        <v>319.20180672537418</v>
      </c>
      <c r="F31" s="30">
        <f t="shared" si="5"/>
        <v>0.57009920653729851</v>
      </c>
      <c r="G31" s="30">
        <f t="shared" si="6"/>
        <v>0.57009920653729851</v>
      </c>
      <c r="H31" s="31">
        <f t="shared" si="1"/>
        <v>9.869059263555964E-2</v>
      </c>
      <c r="I31" s="32" t="str">
        <f t="shared" ref="I31:I58" si="9">IF(OR(C31&lt;plus_age,C31&gt;tmax),"",IF(C31=plus_age,1,I30*EXP(-H30-F)))</f>
        <v/>
      </c>
      <c r="J31" s="212">
        <f t="shared" si="8"/>
        <v>9.869059263555964E-2</v>
      </c>
      <c r="L31" s="9"/>
      <c r="M31" s="9"/>
      <c r="N31" s="104"/>
      <c r="O31" s="82"/>
      <c r="P31" s="82"/>
      <c r="V31">
        <v>19</v>
      </c>
      <c r="W31">
        <v>0.14000000000000001</v>
      </c>
      <c r="X31">
        <v>0.1</v>
      </c>
    </row>
    <row r="32" spans="1:24" x14ac:dyDescent="0.15">
      <c r="C32" s="6">
        <f t="shared" si="3"/>
        <v>20</v>
      </c>
      <c r="D32" s="167">
        <f t="shared" si="4"/>
        <v>263.41249326469494</v>
      </c>
      <c r="E32" s="13">
        <f t="shared" si="0"/>
        <v>325.64468920941823</v>
      </c>
      <c r="F32" s="30">
        <f t="shared" si="5"/>
        <v>0.56682759214310763</v>
      </c>
      <c r="G32" s="30">
        <f t="shared" si="6"/>
        <v>0.56682759214310763</v>
      </c>
      <c r="H32" s="31">
        <f t="shared" si="1"/>
        <v>9.8124239341720057E-2</v>
      </c>
      <c r="I32" s="32" t="str">
        <f t="shared" si="9"/>
        <v/>
      </c>
      <c r="J32" s="212">
        <f t="shared" si="8"/>
        <v>9.8124239341720057E-2</v>
      </c>
      <c r="L32" s="9"/>
      <c r="M32" s="9"/>
      <c r="N32" s="104"/>
      <c r="O32" s="82"/>
      <c r="P32" s="82"/>
      <c r="V32">
        <v>20</v>
      </c>
      <c r="W32">
        <v>0.14000000000000001</v>
      </c>
      <c r="X32">
        <v>0.1</v>
      </c>
    </row>
    <row r="33" spans="3:24" x14ac:dyDescent="0.15">
      <c r="C33" s="6">
        <f t="shared" si="3"/>
        <v>21</v>
      </c>
      <c r="D33" s="167">
        <f t="shared" si="4"/>
        <v>264.88527549781969</v>
      </c>
      <c r="E33" s="13">
        <f t="shared" si="0"/>
        <v>330.91314563441625</v>
      </c>
      <c r="F33" s="30">
        <f t="shared" si="5"/>
        <v>0.56421368656372672</v>
      </c>
      <c r="G33" s="30">
        <f t="shared" si="6"/>
        <v>0.56421368656372672</v>
      </c>
      <c r="H33" s="31">
        <f t="shared" si="1"/>
        <v>9.7671742850294715E-2</v>
      </c>
      <c r="I33" s="32" t="str">
        <f t="shared" si="9"/>
        <v/>
      </c>
      <c r="J33" s="212">
        <f t="shared" si="8"/>
        <v>9.7671742850294715E-2</v>
      </c>
      <c r="L33" s="9"/>
      <c r="M33" s="9"/>
      <c r="N33" s="104"/>
      <c r="O33" s="82"/>
      <c r="P33" s="82"/>
      <c r="V33">
        <v>21</v>
      </c>
      <c r="W33">
        <v>0.14000000000000001</v>
      </c>
      <c r="X33">
        <v>0.1</v>
      </c>
    </row>
    <row r="34" spans="3:24" x14ac:dyDescent="0.15">
      <c r="C34" s="6">
        <f t="shared" si="3"/>
        <v>22</v>
      </c>
      <c r="D34" s="167">
        <f t="shared" si="4"/>
        <v>266.073882940705</v>
      </c>
      <c r="E34" s="13">
        <f t="shared" si="0"/>
        <v>335.20536974803514</v>
      </c>
      <c r="F34" s="30">
        <f t="shared" si="5"/>
        <v>0.56212344112343482</v>
      </c>
      <c r="G34" s="30">
        <f t="shared" si="6"/>
        <v>0.56212344112343482</v>
      </c>
      <c r="H34" s="31">
        <f t="shared" si="1"/>
        <v>9.7309897825971423E-2</v>
      </c>
      <c r="I34" s="32" t="str">
        <f t="shared" si="9"/>
        <v/>
      </c>
      <c r="J34" s="212">
        <f t="shared" si="8"/>
        <v>9.7309897825971423E-2</v>
      </c>
      <c r="L34" s="9"/>
      <c r="M34" s="9"/>
      <c r="N34" s="104"/>
      <c r="O34" s="82"/>
      <c r="P34" s="82"/>
      <c r="V34">
        <v>22</v>
      </c>
      <c r="W34">
        <v>0.14000000000000001</v>
      </c>
      <c r="X34">
        <v>0.1</v>
      </c>
    </row>
    <row r="35" spans="3:24" x14ac:dyDescent="0.15">
      <c r="C35" s="6">
        <f t="shared" si="3"/>
        <v>23</v>
      </c>
      <c r="D35" s="167">
        <f t="shared" si="4"/>
        <v>267.03208408248298</v>
      </c>
      <c r="E35" s="13">
        <f t="shared" si="0"/>
        <v>338.69189058278442</v>
      </c>
      <c r="F35" s="30">
        <f t="shared" si="5"/>
        <v>0.5604507733963604</v>
      </c>
      <c r="G35" s="30">
        <f t="shared" si="6"/>
        <v>0.5604507733963604</v>
      </c>
      <c r="H35" s="31">
        <f t="shared" si="1"/>
        <v>9.7020340206219594E-2</v>
      </c>
      <c r="I35" s="32" t="str">
        <f t="shared" si="9"/>
        <v/>
      </c>
      <c r="J35" s="212">
        <f t="shared" si="8"/>
        <v>9.7020340206219594E-2</v>
      </c>
      <c r="L35" s="34" t="s">
        <v>94</v>
      </c>
      <c r="M35" s="82"/>
      <c r="N35" s="103"/>
      <c r="O35" s="82"/>
      <c r="P35" s="82"/>
      <c r="V35">
        <v>23</v>
      </c>
      <c r="W35">
        <v>0.14000000000000001</v>
      </c>
      <c r="X35">
        <v>0.1</v>
      </c>
    </row>
    <row r="36" spans="3:24" x14ac:dyDescent="0.15">
      <c r="C36" s="6">
        <f t="shared" si="3"/>
        <v>24</v>
      </c>
      <c r="D36" s="167">
        <f t="shared" si="4"/>
        <v>267.80385423457824</v>
      </c>
      <c r="E36" s="13">
        <f t="shared" si="0"/>
        <v>341.51720297748983</v>
      </c>
      <c r="F36" s="30">
        <f t="shared" si="5"/>
        <v>0.55911150667574416</v>
      </c>
      <c r="G36" s="30">
        <f t="shared" si="6"/>
        <v>0.55911150667574416</v>
      </c>
      <c r="H36" s="31">
        <f t="shared" si="1"/>
        <v>9.6788498055171007E-2</v>
      </c>
      <c r="I36" s="32" t="str">
        <f t="shared" si="9"/>
        <v/>
      </c>
      <c r="J36" s="212">
        <f t="shared" si="8"/>
        <v>9.6788498055171007E-2</v>
      </c>
      <c r="L36" s="102">
        <f>AVERAGE(J16:J47)</f>
        <v>0.11047895193285234</v>
      </c>
      <c r="M36" s="82"/>
      <c r="N36" s="103"/>
      <c r="O36" s="82"/>
      <c r="P36" s="82"/>
      <c r="V36">
        <v>24</v>
      </c>
      <c r="W36">
        <v>0.14000000000000001</v>
      </c>
      <c r="X36">
        <v>0.1</v>
      </c>
    </row>
    <row r="37" spans="3:24" ht="14.25" thickBot="1" x14ac:dyDescent="0.2">
      <c r="C37" s="6">
        <f t="shared" si="3"/>
        <v>25</v>
      </c>
      <c r="D37" s="167">
        <f t="shared" si="4"/>
        <v>268.42502139586395</v>
      </c>
      <c r="E37" s="13">
        <f t="shared" si="0"/>
        <v>343.80232198170785</v>
      </c>
      <c r="F37" s="30">
        <f t="shared" si="5"/>
        <v>0.55803870053400062</v>
      </c>
      <c r="G37" s="30">
        <f t="shared" si="6"/>
        <v>0.55803870053400062</v>
      </c>
      <c r="H37" s="31">
        <f t="shared" si="1"/>
        <v>9.6602783230983105E-2</v>
      </c>
      <c r="I37" s="32" t="str">
        <f t="shared" si="9"/>
        <v/>
      </c>
      <c r="J37" s="213">
        <f t="shared" si="8"/>
        <v>9.6602783230983105E-2</v>
      </c>
      <c r="V37">
        <v>25</v>
      </c>
      <c r="W37">
        <v>0.14000000000000001</v>
      </c>
      <c r="X37">
        <v>0.1</v>
      </c>
    </row>
    <row r="38" spans="3:24" x14ac:dyDescent="0.15">
      <c r="C38" s="6">
        <f t="shared" si="3"/>
        <v>26</v>
      </c>
      <c r="D38" s="167">
        <f t="shared" si="4"/>
        <v>268.92468696407281</v>
      </c>
      <c r="E38" s="13">
        <f t="shared" si="0"/>
        <v>345.64769054786802</v>
      </c>
      <c r="F38" s="30">
        <f t="shared" si="5"/>
        <v>0.5571790272348125</v>
      </c>
      <c r="G38" s="30">
        <f t="shared" si="6"/>
        <v>0.5571790272348125</v>
      </c>
      <c r="H38" s="31">
        <f t="shared" si="1"/>
        <v>9.645396410196666E-2</v>
      </c>
      <c r="I38" s="32" t="str">
        <f t="shared" si="9"/>
        <v/>
      </c>
      <c r="J38" s="214">
        <f t="shared" si="8"/>
        <v>9.645396410196666E-2</v>
      </c>
      <c r="V38">
        <v>26</v>
      </c>
      <c r="W38">
        <v>0.14000000000000001</v>
      </c>
      <c r="X38">
        <v>0.1</v>
      </c>
    </row>
    <row r="39" spans="3:24" x14ac:dyDescent="0.15">
      <c r="C39" s="6">
        <f>IF(C38&lt;tmax,C38+1,"")</f>
        <v>27</v>
      </c>
      <c r="D39" s="167">
        <f t="shared" si="4"/>
        <v>269.3264314868332</v>
      </c>
      <c r="E39" s="13">
        <f t="shared" si="0"/>
        <v>347.13609510631477</v>
      </c>
      <c r="F39" s="30">
        <f t="shared" si="5"/>
        <v>0.55648994271053187</v>
      </c>
      <c r="G39" s="30">
        <f t="shared" si="6"/>
        <v>0.55648994271053187</v>
      </c>
      <c r="H39" s="31">
        <f t="shared" si="1"/>
        <v>9.6334675810915871E-2</v>
      </c>
      <c r="I39" s="32" t="str">
        <f t="shared" si="9"/>
        <v/>
      </c>
      <c r="J39" s="214">
        <f t="shared" si="8"/>
        <v>9.6334675810915871E-2</v>
      </c>
      <c r="V39">
        <v>27</v>
      </c>
      <c r="W39">
        <v>0.14000000000000001</v>
      </c>
      <c r="X39">
        <v>0.1</v>
      </c>
    </row>
    <row r="40" spans="3:24" x14ac:dyDescent="0.15">
      <c r="C40" s="6">
        <f t="shared" ref="C40:C58" si="10">IF(C39&lt;tmax,C39+1," ")</f>
        <v>28</v>
      </c>
      <c r="D40" s="167">
        <f t="shared" si="4"/>
        <v>269.64932522084746</v>
      </c>
      <c r="E40" s="13">
        <f t="shared" si="0"/>
        <v>348.33539606470401</v>
      </c>
      <c r="F40" s="30">
        <f t="shared" si="5"/>
        <v>0.55593746671614386</v>
      </c>
      <c r="G40" s="30">
        <f t="shared" si="6"/>
        <v>0.55593746671614386</v>
      </c>
      <c r="H40" s="31">
        <f t="shared" si="1"/>
        <v>9.6239035994761329E-2</v>
      </c>
      <c r="I40" s="32" t="str">
        <f t="shared" si="9"/>
        <v/>
      </c>
      <c r="J40" s="214">
        <f t="shared" si="8"/>
        <v>9.6239035994761329E-2</v>
      </c>
      <c r="V40">
        <v>28</v>
      </c>
      <c r="W40">
        <v>0.14000000000000001</v>
      </c>
      <c r="X40">
        <v>0.1</v>
      </c>
    </row>
    <row r="41" spans="3:24" x14ac:dyDescent="0.15">
      <c r="C41" s="6">
        <f t="shared" si="10"/>
        <v>29</v>
      </c>
      <c r="D41" s="167">
        <f t="shared" si="4"/>
        <v>269.90876711736149</v>
      </c>
      <c r="E41" s="13">
        <f t="shared" si="0"/>
        <v>349.30097907072616</v>
      </c>
      <c r="F41" s="30">
        <f t="shared" si="5"/>
        <v>0.55549443369556117</v>
      </c>
      <c r="G41" s="30">
        <f t="shared" si="6"/>
        <v>0.55549443369556117</v>
      </c>
      <c r="H41" s="31">
        <f t="shared" si="1"/>
        <v>9.6162341989828412E-2</v>
      </c>
      <c r="I41" s="32" t="str">
        <f t="shared" si="9"/>
        <v/>
      </c>
      <c r="J41" s="214">
        <f t="shared" si="8"/>
        <v>9.6162341989828412E-2</v>
      </c>
      <c r="V41">
        <v>29</v>
      </c>
      <c r="W41">
        <v>0.14000000000000001</v>
      </c>
      <c r="X41">
        <v>0.1</v>
      </c>
    </row>
    <row r="42" spans="3:24" x14ac:dyDescent="0.15">
      <c r="C42" s="6">
        <f t="shared" si="10"/>
        <v>30</v>
      </c>
      <c r="D42" s="167">
        <f t="shared" si="4"/>
        <v>270.11717633436456</v>
      </c>
      <c r="E42" s="13">
        <f t="shared" si="0"/>
        <v>350.07789404183228</v>
      </c>
      <c r="F42" s="30">
        <f t="shared" si="5"/>
        <v>0.5551391097966375</v>
      </c>
      <c r="G42" s="30">
        <f t="shared" si="6"/>
        <v>0.5551391097966375</v>
      </c>
      <c r="H42" s="31">
        <f t="shared" si="1"/>
        <v>9.6100831421561977E-2</v>
      </c>
      <c r="I42" s="32" t="str">
        <f t="shared" si="9"/>
        <v/>
      </c>
      <c r="J42" s="214">
        <f t="shared" si="8"/>
        <v>9.6100831421561977E-2</v>
      </c>
      <c r="V42">
        <v>30</v>
      </c>
      <c r="W42">
        <v>0.14000000000000001</v>
      </c>
      <c r="X42">
        <v>0.1</v>
      </c>
    </row>
    <row r="43" spans="3:24" x14ac:dyDescent="0.15">
      <c r="C43" s="6">
        <f t="shared" si="10"/>
        <v>31</v>
      </c>
      <c r="D43" s="167">
        <f t="shared" si="4"/>
        <v>270.28455901120424</v>
      </c>
      <c r="E43" s="13">
        <f t="shared" si="0"/>
        <v>350.70268476289158</v>
      </c>
      <c r="F43" s="30">
        <f t="shared" si="5"/>
        <v>0.55485409629913518</v>
      </c>
      <c r="G43" s="30">
        <f t="shared" si="6"/>
        <v>0.55485409629913518</v>
      </c>
      <c r="H43" s="31">
        <f t="shared" si="1"/>
        <v>9.6051492375558933E-2</v>
      </c>
      <c r="I43" s="32" t="str">
        <f t="shared" si="9"/>
        <v/>
      </c>
      <c r="J43" s="214">
        <f t="shared" si="8"/>
        <v>9.6051492375558933E-2</v>
      </c>
      <c r="V43">
        <v>31</v>
      </c>
      <c r="W43">
        <v>0.14000000000000001</v>
      </c>
      <c r="X43">
        <v>0.1</v>
      </c>
    </row>
    <row r="44" spans="3:24" x14ac:dyDescent="0.15">
      <c r="C44" s="6">
        <f t="shared" si="10"/>
        <v>32</v>
      </c>
      <c r="D44" s="167">
        <f t="shared" si="4"/>
        <v>270.41897077959641</v>
      </c>
      <c r="E44" s="13">
        <f t="shared" si="0"/>
        <v>351.20493114907151</v>
      </c>
      <c r="F44" s="30">
        <f t="shared" si="5"/>
        <v>0.5546254581345893</v>
      </c>
      <c r="G44" s="30">
        <f t="shared" si="6"/>
        <v>0.5546254581345893</v>
      </c>
      <c r="H44" s="31">
        <f t="shared" si="1"/>
        <v>9.6011912534542859E-2</v>
      </c>
      <c r="I44" s="32" t="str">
        <f t="shared" si="9"/>
        <v/>
      </c>
      <c r="J44" s="214">
        <f t="shared" si="8"/>
        <v>9.6011912534542859E-2</v>
      </c>
      <c r="V44">
        <v>32</v>
      </c>
      <c r="W44">
        <v>0.14000000000000001</v>
      </c>
      <c r="X44">
        <v>0.1</v>
      </c>
    </row>
    <row r="45" spans="3:24" x14ac:dyDescent="0.15">
      <c r="C45" s="6">
        <f t="shared" si="10"/>
        <v>33</v>
      </c>
      <c r="D45" s="167">
        <f t="shared" si="4"/>
        <v>270.5268928986805</v>
      </c>
      <c r="E45" s="13">
        <f t="shared" si="0"/>
        <v>351.60853521533858</v>
      </c>
      <c r="F45" s="30">
        <f t="shared" si="5"/>
        <v>0.55444202999357883</v>
      </c>
      <c r="G45" s="30">
        <f t="shared" si="6"/>
        <v>0.55444202999357883</v>
      </c>
      <c r="H45" s="31">
        <f t="shared" si="1"/>
        <v>9.5980159057718506E-2</v>
      </c>
      <c r="I45" s="32" t="str">
        <f t="shared" si="9"/>
        <v/>
      </c>
      <c r="J45" s="214">
        <f t="shared" si="8"/>
        <v>9.5980159057718506E-2</v>
      </c>
      <c r="V45">
        <v>33</v>
      </c>
      <c r="W45">
        <v>0.14000000000000001</v>
      </c>
      <c r="X45">
        <v>0.1</v>
      </c>
    </row>
    <row r="46" spans="3:24" x14ac:dyDescent="0.15">
      <c r="C46" s="6">
        <f t="shared" si="10"/>
        <v>34</v>
      </c>
      <c r="D46" s="167">
        <f t="shared" si="4"/>
        <v>270.61353731896639</v>
      </c>
      <c r="E46" s="13">
        <f t="shared" si="0"/>
        <v>351.93278451044529</v>
      </c>
      <c r="F46" s="30">
        <f t="shared" si="5"/>
        <v>0.554294862990376</v>
      </c>
      <c r="G46" s="30">
        <f t="shared" si="6"/>
        <v>0.554294862990376</v>
      </c>
      <c r="H46" s="31">
        <f t="shared" si="1"/>
        <v>9.5954682792191492E-2</v>
      </c>
      <c r="I46" s="32" t="str">
        <f t="shared" si="9"/>
        <v/>
      </c>
      <c r="J46" s="214">
        <f t="shared" si="8"/>
        <v>9.5954682792191492E-2</v>
      </c>
      <c r="V46">
        <v>34</v>
      </c>
      <c r="W46">
        <v>0.14000000000000001</v>
      </c>
      <c r="X46">
        <v>0.1</v>
      </c>
    </row>
    <row r="47" spans="3:24" x14ac:dyDescent="0.15">
      <c r="C47" s="6">
        <f t="shared" si="10"/>
        <v>35</v>
      </c>
      <c r="D47" s="167">
        <f t="shared" si="4"/>
        <v>270.68309357513044</v>
      </c>
      <c r="E47" s="13">
        <f t="shared" si="0"/>
        <v>352.19322594878497</v>
      </c>
      <c r="F47" s="30">
        <f t="shared" si="5"/>
        <v>0.5541767828686559</v>
      </c>
      <c r="G47" s="30">
        <f t="shared" si="6"/>
        <v>0.5541767828686559</v>
      </c>
      <c r="H47" s="31">
        <f t="shared" si="1"/>
        <v>9.5934241793401445E-2</v>
      </c>
      <c r="I47" s="32">
        <f t="shared" si="9"/>
        <v>1</v>
      </c>
      <c r="J47" s="214">
        <f t="shared" si="8"/>
        <v>9.5934241793401445E-2</v>
      </c>
    </row>
    <row r="48" spans="3:24" x14ac:dyDescent="0.15">
      <c r="C48" s="6" t="str">
        <f t="shared" si="10"/>
        <v xml:space="preserve"> </v>
      </c>
      <c r="D48" s="167" t="str">
        <f t="shared" ref="D48:D58" si="11">IF(C48&gt;tmax," ",linf*(1-EXP(-k*(C48-t0+offset-shift))))</f>
        <v xml:space="preserve"> </v>
      </c>
      <c r="E48" s="13" t="str">
        <f t="shared" ref="E48:E58" si="12">IF(C48&gt;tmax," ",a*(D48)^b)</f>
        <v xml:space="preserve"> </v>
      </c>
      <c r="F48" s="30" t="str">
        <f t="shared" si="5"/>
        <v xml:space="preserve"> </v>
      </c>
      <c r="G48" s="30" t="str">
        <f t="shared" si="6"/>
        <v/>
      </c>
      <c r="H48" s="31" t="str">
        <f t="shared" si="1"/>
        <v/>
      </c>
      <c r="I48" s="32" t="str">
        <f t="shared" si="9"/>
        <v/>
      </c>
      <c r="J48" s="214">
        <f t="shared" si="8"/>
        <v>9.5934241793401445E-2</v>
      </c>
      <c r="N48" s="44" t="s">
        <v>5</v>
      </c>
    </row>
    <row r="49" spans="3:10" x14ac:dyDescent="0.15">
      <c r="C49" s="6" t="str">
        <f t="shared" si="10"/>
        <v xml:space="preserve"> </v>
      </c>
      <c r="D49" s="167" t="str">
        <f t="shared" si="11"/>
        <v xml:space="preserve"> </v>
      </c>
      <c r="E49" s="13" t="str">
        <f t="shared" si="12"/>
        <v xml:space="preserve"> </v>
      </c>
      <c r="F49" s="30" t="str">
        <f t="shared" si="5"/>
        <v xml:space="preserve"> </v>
      </c>
      <c r="G49" s="30" t="str">
        <f t="shared" si="6"/>
        <v/>
      </c>
      <c r="H49" s="31" t="str">
        <f t="shared" si="1"/>
        <v/>
      </c>
      <c r="I49" s="32" t="str">
        <f t="shared" si="9"/>
        <v/>
      </c>
      <c r="J49" s="214">
        <f t="shared" si="8"/>
        <v>9.5934241793401445E-2</v>
      </c>
    </row>
    <row r="50" spans="3:10" x14ac:dyDescent="0.15">
      <c r="C50" s="6" t="str">
        <f t="shared" si="10"/>
        <v xml:space="preserve"> </v>
      </c>
      <c r="D50" s="167" t="str">
        <f t="shared" si="11"/>
        <v xml:space="preserve"> </v>
      </c>
      <c r="E50" s="13" t="str">
        <f t="shared" si="12"/>
        <v xml:space="preserve"> </v>
      </c>
      <c r="F50" s="30" t="str">
        <f t="shared" si="5"/>
        <v xml:space="preserve"> </v>
      </c>
      <c r="G50" s="30" t="str">
        <f t="shared" si="6"/>
        <v/>
      </c>
      <c r="H50" s="31" t="str">
        <f t="shared" si="1"/>
        <v/>
      </c>
      <c r="I50" s="32" t="str">
        <f t="shared" si="9"/>
        <v/>
      </c>
      <c r="J50" s="214">
        <f t="shared" si="8"/>
        <v>9.5934241793401445E-2</v>
      </c>
    </row>
    <row r="51" spans="3:10" x14ac:dyDescent="0.15">
      <c r="C51" s="6" t="str">
        <f t="shared" si="10"/>
        <v xml:space="preserve"> </v>
      </c>
      <c r="D51" s="167" t="str">
        <f t="shared" si="11"/>
        <v xml:space="preserve"> </v>
      </c>
      <c r="E51" s="13" t="str">
        <f t="shared" si="12"/>
        <v xml:space="preserve"> </v>
      </c>
      <c r="F51" s="30" t="str">
        <f t="shared" si="5"/>
        <v xml:space="preserve"> </v>
      </c>
      <c r="G51" s="30" t="str">
        <f t="shared" si="6"/>
        <v/>
      </c>
      <c r="H51" s="31" t="str">
        <f t="shared" si="1"/>
        <v/>
      </c>
      <c r="I51" s="32" t="str">
        <f t="shared" si="9"/>
        <v/>
      </c>
      <c r="J51" s="214">
        <f t="shared" si="8"/>
        <v>9.5934241793401445E-2</v>
      </c>
    </row>
    <row r="52" spans="3:10" x14ac:dyDescent="0.15">
      <c r="C52" s="6" t="str">
        <f t="shared" si="10"/>
        <v xml:space="preserve"> </v>
      </c>
      <c r="D52" s="167" t="str">
        <f t="shared" si="11"/>
        <v xml:space="preserve"> </v>
      </c>
      <c r="E52" s="13" t="str">
        <f t="shared" si="12"/>
        <v xml:space="preserve"> </v>
      </c>
      <c r="F52" s="30" t="str">
        <f t="shared" si="5"/>
        <v xml:space="preserve"> </v>
      </c>
      <c r="G52" s="30" t="str">
        <f t="shared" si="6"/>
        <v/>
      </c>
      <c r="H52" s="31" t="str">
        <f t="shared" si="1"/>
        <v/>
      </c>
      <c r="I52" s="32" t="str">
        <f t="shared" si="9"/>
        <v/>
      </c>
      <c r="J52" s="214">
        <f t="shared" si="8"/>
        <v>9.5934241793401445E-2</v>
      </c>
    </row>
    <row r="53" spans="3:10" x14ac:dyDescent="0.15">
      <c r="C53" s="6" t="str">
        <f t="shared" si="10"/>
        <v xml:space="preserve"> </v>
      </c>
      <c r="D53" s="167" t="str">
        <f t="shared" si="11"/>
        <v xml:space="preserve"> </v>
      </c>
      <c r="E53" s="13" t="str">
        <f t="shared" si="12"/>
        <v xml:space="preserve"> </v>
      </c>
      <c r="F53" s="30" t="str">
        <f t="shared" si="5"/>
        <v xml:space="preserve"> </v>
      </c>
      <c r="G53" s="30" t="str">
        <f t="shared" si="6"/>
        <v/>
      </c>
      <c r="H53" s="31" t="str">
        <f t="shared" si="1"/>
        <v/>
      </c>
      <c r="I53" s="32" t="str">
        <f t="shared" si="9"/>
        <v/>
      </c>
      <c r="J53" s="214">
        <f t="shared" si="8"/>
        <v>9.5934241793401445E-2</v>
      </c>
    </row>
    <row r="54" spans="3:10" x14ac:dyDescent="0.15">
      <c r="C54" s="6" t="str">
        <f t="shared" si="10"/>
        <v xml:space="preserve"> </v>
      </c>
      <c r="D54" s="167" t="str">
        <f t="shared" si="11"/>
        <v xml:space="preserve"> </v>
      </c>
      <c r="E54" s="13" t="str">
        <f t="shared" si="12"/>
        <v xml:space="preserve"> </v>
      </c>
      <c r="F54" s="30" t="str">
        <f t="shared" si="5"/>
        <v xml:space="preserve"> </v>
      </c>
      <c r="G54" s="30" t="str">
        <f t="shared" si="6"/>
        <v/>
      </c>
      <c r="H54" s="31" t="str">
        <f t="shared" si="1"/>
        <v/>
      </c>
      <c r="I54" s="32" t="str">
        <f t="shared" si="9"/>
        <v/>
      </c>
      <c r="J54" s="214">
        <f t="shared" si="8"/>
        <v>9.5934241793401445E-2</v>
      </c>
    </row>
    <row r="55" spans="3:10" x14ac:dyDescent="0.15">
      <c r="C55" s="6" t="str">
        <f t="shared" si="10"/>
        <v xml:space="preserve"> </v>
      </c>
      <c r="D55" s="167" t="str">
        <f t="shared" si="11"/>
        <v xml:space="preserve"> </v>
      </c>
      <c r="E55" s="13" t="str">
        <f t="shared" si="12"/>
        <v xml:space="preserve"> </v>
      </c>
      <c r="F55" s="30" t="str">
        <f t="shared" si="5"/>
        <v xml:space="preserve"> </v>
      </c>
      <c r="G55" s="30" t="str">
        <f t="shared" si="6"/>
        <v/>
      </c>
      <c r="H55" s="31" t="str">
        <f t="shared" si="1"/>
        <v/>
      </c>
      <c r="I55" s="32" t="str">
        <f t="shared" si="9"/>
        <v/>
      </c>
      <c r="J55" s="214">
        <f t="shared" si="8"/>
        <v>9.5934241793401445E-2</v>
      </c>
    </row>
    <row r="56" spans="3:10" x14ac:dyDescent="0.15">
      <c r="C56" s="6" t="str">
        <f t="shared" si="10"/>
        <v xml:space="preserve"> </v>
      </c>
      <c r="D56" s="167" t="str">
        <f t="shared" si="11"/>
        <v xml:space="preserve"> </v>
      </c>
      <c r="E56" s="13" t="str">
        <f t="shared" si="12"/>
        <v xml:space="preserve"> </v>
      </c>
      <c r="F56" s="30" t="str">
        <f t="shared" si="5"/>
        <v xml:space="preserve"> </v>
      </c>
      <c r="G56" s="30" t="str">
        <f t="shared" si="6"/>
        <v/>
      </c>
      <c r="H56" s="31" t="str">
        <f t="shared" si="1"/>
        <v/>
      </c>
      <c r="I56" s="32" t="str">
        <f t="shared" si="9"/>
        <v/>
      </c>
      <c r="J56" s="214">
        <f t="shared" si="8"/>
        <v>9.5934241793401445E-2</v>
      </c>
    </row>
    <row r="57" spans="3:10" x14ac:dyDescent="0.15">
      <c r="C57" s="6" t="str">
        <f t="shared" si="10"/>
        <v xml:space="preserve"> </v>
      </c>
      <c r="D57" s="167" t="str">
        <f t="shared" si="11"/>
        <v xml:space="preserve"> </v>
      </c>
      <c r="E57" s="13" t="str">
        <f t="shared" si="12"/>
        <v xml:space="preserve"> </v>
      </c>
      <c r="F57" s="30" t="str">
        <f t="shared" si="5"/>
        <v xml:space="preserve"> </v>
      </c>
      <c r="G57" s="30" t="str">
        <f t="shared" si="6"/>
        <v/>
      </c>
      <c r="H57" s="31" t="str">
        <f t="shared" si="1"/>
        <v/>
      </c>
      <c r="I57" s="32" t="str">
        <f t="shared" si="9"/>
        <v/>
      </c>
      <c r="J57" s="214">
        <f t="shared" si="8"/>
        <v>9.5934241793401445E-2</v>
      </c>
    </row>
    <row r="58" spans="3:10" x14ac:dyDescent="0.15">
      <c r="C58" s="6" t="str">
        <f t="shared" si="10"/>
        <v xml:space="preserve"> </v>
      </c>
      <c r="D58" s="167" t="str">
        <f t="shared" si="11"/>
        <v xml:space="preserve"> </v>
      </c>
      <c r="E58" s="13" t="str">
        <f t="shared" si="12"/>
        <v xml:space="preserve"> </v>
      </c>
      <c r="F58" s="30" t="str">
        <f t="shared" si="5"/>
        <v xml:space="preserve"> </v>
      </c>
      <c r="G58" s="30" t="str">
        <f t="shared" si="6"/>
        <v/>
      </c>
      <c r="H58" s="31" t="str">
        <f t="shared" si="1"/>
        <v/>
      </c>
      <c r="I58" s="32" t="str">
        <f t="shared" si="9"/>
        <v/>
      </c>
      <c r="J58" s="214">
        <f t="shared" si="8"/>
        <v>9.5934241793401445E-2</v>
      </c>
    </row>
    <row r="60" spans="3:10" ht="14.25" x14ac:dyDescent="0.2">
      <c r="F60" t="s">
        <v>100</v>
      </c>
      <c r="G60" s="38">
        <f>SUM(G12:G58)</f>
        <v>15.019242436516663</v>
      </c>
    </row>
    <row r="61" spans="3:10" ht="14.25" x14ac:dyDescent="0.2">
      <c r="F61" t="s">
        <v>101</v>
      </c>
      <c r="G61" s="38">
        <f>(tmax-full_sel_age+1)*target_M</f>
        <v>2.6</v>
      </c>
      <c r="I61" s="39">
        <f>SUMPRODUCT(I12:I58,H12:H58)/SUM(I12:I58)</f>
        <v>9.5934241793401445E-2</v>
      </c>
    </row>
    <row r="62" spans="3:10" ht="14.25" x14ac:dyDescent="0.2">
      <c r="G62" s="38" t="s">
        <v>5</v>
      </c>
    </row>
  </sheetData>
  <phoneticPr fontId="37"/>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1"/>
  <sheetViews>
    <sheetView zoomScale="70" zoomScaleNormal="70" workbookViewId="0">
      <selection activeCell="M15" sqref="M15"/>
    </sheetView>
  </sheetViews>
  <sheetFormatPr defaultRowHeight="13.5" x14ac:dyDescent="0.15"/>
  <cols>
    <col min="2" max="2" width="11.375" customWidth="1"/>
    <col min="3" max="3" width="12.75" customWidth="1"/>
    <col min="4" max="4" width="12.75" style="42" customWidth="1"/>
    <col min="5" max="8" width="12.75" customWidth="1"/>
    <col min="9" max="9" width="16.75" customWidth="1"/>
    <col min="10" max="10" width="12.75" style="4" customWidth="1"/>
    <col min="13" max="13" width="14.125" customWidth="1"/>
    <col min="14" max="14" width="14.125" style="44" customWidth="1"/>
    <col min="15" max="15" width="17.875" customWidth="1"/>
  </cols>
  <sheetData>
    <row r="1" spans="1:24" ht="14.25" x14ac:dyDescent="0.2">
      <c r="A1" t="s">
        <v>155</v>
      </c>
      <c r="C1" s="2" t="s">
        <v>16</v>
      </c>
      <c r="D1" s="161"/>
      <c r="E1" s="2"/>
      <c r="G1" s="3" t="s">
        <v>17</v>
      </c>
      <c r="H1" s="3" t="s">
        <v>1</v>
      </c>
      <c r="I1" s="157">
        <v>3.5080100000000003E-5</v>
      </c>
      <c r="J1" s="42"/>
      <c r="K1" s="5" t="s">
        <v>18</v>
      </c>
      <c r="L1" s="6"/>
      <c r="M1" s="5">
        <v>35</v>
      </c>
      <c r="N1" s="43"/>
    </row>
    <row r="2" spans="1:24" ht="14.25" x14ac:dyDescent="0.2">
      <c r="A2" t="s">
        <v>153</v>
      </c>
      <c r="B2">
        <v>0</v>
      </c>
      <c r="C2" s="8" t="s">
        <v>19</v>
      </c>
      <c r="D2" s="162"/>
      <c r="E2" s="11">
        <v>3</v>
      </c>
      <c r="F2" s="9"/>
      <c r="G2" s="10"/>
      <c r="H2" s="3" t="s">
        <v>2</v>
      </c>
      <c r="I2" s="157">
        <v>2.8784510000000001</v>
      </c>
      <c r="K2" s="5" t="s">
        <v>20</v>
      </c>
      <c r="L2" s="6"/>
      <c r="M2" s="5">
        <v>4</v>
      </c>
      <c r="N2" s="43"/>
    </row>
    <row r="3" spans="1:24" ht="14.25" x14ac:dyDescent="0.2">
      <c r="A3" t="s">
        <v>154</v>
      </c>
      <c r="B3">
        <v>34</v>
      </c>
      <c r="C3" s="8" t="s">
        <v>21</v>
      </c>
      <c r="D3" s="162"/>
      <c r="E3" s="11">
        <v>-0.28799999999999998</v>
      </c>
      <c r="F3" s="7"/>
      <c r="G3" s="10"/>
      <c r="H3" s="3" t="s">
        <v>22</v>
      </c>
      <c r="I3" s="147">
        <v>270.60000000000002</v>
      </c>
      <c r="J3" t="s">
        <v>5</v>
      </c>
      <c r="K3" s="5" t="s">
        <v>23</v>
      </c>
      <c r="L3" s="6"/>
      <c r="M3" s="5">
        <v>35</v>
      </c>
      <c r="N3" s="43"/>
    </row>
    <row r="4" spans="1:24" ht="14.25" x14ac:dyDescent="0.2">
      <c r="A4" t="s">
        <v>151</v>
      </c>
      <c r="B4">
        <v>33</v>
      </c>
      <c r="C4" s="8" t="s">
        <v>95</v>
      </c>
      <c r="D4" s="42" t="s">
        <v>5</v>
      </c>
      <c r="F4" s="7"/>
      <c r="G4" s="10"/>
      <c r="H4" s="3" t="s">
        <v>24</v>
      </c>
      <c r="I4" s="147">
        <v>0.22</v>
      </c>
      <c r="J4" t="s">
        <v>5</v>
      </c>
      <c r="K4" s="5" t="s">
        <v>15</v>
      </c>
      <c r="L4" s="6"/>
      <c r="M4" s="5">
        <v>0.5</v>
      </c>
      <c r="N4" s="43"/>
    </row>
    <row r="5" spans="1:24" ht="14.25" x14ac:dyDescent="0.2">
      <c r="A5" t="s">
        <v>152</v>
      </c>
      <c r="B5">
        <v>270.60000000000002</v>
      </c>
      <c r="C5" s="11" t="s">
        <v>8</v>
      </c>
      <c r="D5" s="163" t="s">
        <v>140</v>
      </c>
      <c r="E5" s="12"/>
      <c r="F5" s="7"/>
      <c r="G5" s="10"/>
      <c r="H5" s="3" t="s">
        <v>7</v>
      </c>
      <c r="I5" s="147">
        <v>-0.65</v>
      </c>
      <c r="J5" t="s">
        <v>5</v>
      </c>
      <c r="K5" s="5"/>
      <c r="L5" s="6"/>
      <c r="M5" s="5"/>
      <c r="N5" s="43"/>
      <c r="O5" t="s">
        <v>5</v>
      </c>
    </row>
    <row r="6" spans="1:24" ht="14.25" x14ac:dyDescent="0.2">
      <c r="A6" t="s">
        <v>150</v>
      </c>
      <c r="B6">
        <v>-0.12</v>
      </c>
      <c r="C6" s="11" t="s">
        <v>5</v>
      </c>
      <c r="D6" s="163"/>
      <c r="E6" s="12"/>
      <c r="F6" s="7"/>
      <c r="G6" s="13"/>
      <c r="H6" s="3" t="s">
        <v>25</v>
      </c>
      <c r="I6" s="156">
        <f>120/365.25</f>
        <v>0.32854209445585214</v>
      </c>
      <c r="L6" s="15" t="s">
        <v>139</v>
      </c>
      <c r="M6" s="40">
        <f>4.899*tmax^-0.916</f>
        <v>0.18868662257633637</v>
      </c>
      <c r="N6" s="14" t="s">
        <v>37</v>
      </c>
      <c r="O6" s="40">
        <f>4.899*tmax^-0.916</f>
        <v>0.18868662257633637</v>
      </c>
      <c r="P6" t="s">
        <v>5</v>
      </c>
      <c r="Q6" t="s">
        <v>5</v>
      </c>
    </row>
    <row r="7" spans="1:24" ht="14.25" x14ac:dyDescent="0.2">
      <c r="A7" t="s">
        <v>24</v>
      </c>
      <c r="B7">
        <v>0.22</v>
      </c>
      <c r="C7" s="11" t="s">
        <v>148</v>
      </c>
      <c r="D7" s="163" t="s">
        <v>5</v>
      </c>
      <c r="E7" s="12"/>
      <c r="F7" s="7">
        <f>cum_L</f>
        <v>20.42227893183729</v>
      </c>
      <c r="G7" t="s">
        <v>5</v>
      </c>
      <c r="H7" s="155"/>
      <c r="I7" s="147"/>
      <c r="N7" s="14" t="s">
        <v>5</v>
      </c>
      <c r="O7" t="s">
        <v>158</v>
      </c>
      <c r="P7">
        <f>EXP(1.46+-1.01*LN(tmax))</f>
        <v>0.11873020530810875</v>
      </c>
    </row>
    <row r="8" spans="1:24" ht="14.25" x14ac:dyDescent="0.2">
      <c r="A8" t="s">
        <v>160</v>
      </c>
      <c r="B8">
        <v>5.84</v>
      </c>
      <c r="C8" s="11"/>
      <c r="D8" s="163" t="s">
        <v>5</v>
      </c>
      <c r="E8" s="12"/>
      <c r="F8" s="7"/>
      <c r="K8" s="1" t="s">
        <v>26</v>
      </c>
      <c r="L8" s="1"/>
      <c r="M8" s="16">
        <f>M6</f>
        <v>0.18868662257633637</v>
      </c>
    </row>
    <row r="9" spans="1:24" ht="14.25" x14ac:dyDescent="0.2">
      <c r="A9" t="s">
        <v>161</v>
      </c>
      <c r="B9">
        <v>0.06</v>
      </c>
      <c r="C9" s="17"/>
      <c r="D9" s="164"/>
      <c r="E9" s="18"/>
      <c r="F9" s="19" t="s">
        <v>8</v>
      </c>
      <c r="G9" s="20" t="s">
        <v>27</v>
      </c>
      <c r="H9" s="21"/>
      <c r="I9" s="22" t="s">
        <v>28</v>
      </c>
      <c r="J9" s="23" t="s">
        <v>29</v>
      </c>
      <c r="L9" s="82"/>
      <c r="M9" s="82"/>
      <c r="N9" s="82"/>
      <c r="O9" s="112"/>
    </row>
    <row r="10" spans="1:24" ht="14.25" x14ac:dyDescent="0.2">
      <c r="C10" s="24" t="s">
        <v>30</v>
      </c>
      <c r="D10" s="165"/>
      <c r="E10" s="25" t="s">
        <v>31</v>
      </c>
      <c r="F10" s="26" t="s">
        <v>32</v>
      </c>
      <c r="G10" s="26" t="s">
        <v>33</v>
      </c>
      <c r="H10" s="27" t="s">
        <v>34</v>
      </c>
      <c r="I10" s="28" t="s">
        <v>35</v>
      </c>
      <c r="J10" s="29" t="s">
        <v>36</v>
      </c>
      <c r="L10" s="82"/>
      <c r="M10" s="82"/>
      <c r="N10" s="103"/>
      <c r="O10" s="82"/>
    </row>
    <row r="11" spans="1:24" ht="15" thickBot="1" x14ac:dyDescent="0.25">
      <c r="C11" s="138"/>
      <c r="D11" s="166"/>
      <c r="E11" s="139"/>
      <c r="F11" s="19" t="s">
        <v>136</v>
      </c>
      <c r="G11" s="19" t="s">
        <v>138</v>
      </c>
      <c r="H11" s="140" t="s">
        <v>137</v>
      </c>
      <c r="I11" s="141"/>
      <c r="J11" s="29"/>
      <c r="L11" s="82"/>
      <c r="M11" s="82">
        <f>target_M-0.05</f>
        <v>0.13868662257633635</v>
      </c>
      <c r="N11" s="103"/>
      <c r="O11" s="82"/>
      <c r="W11" t="s">
        <v>156</v>
      </c>
      <c r="X11" t="s">
        <v>157</v>
      </c>
    </row>
    <row r="12" spans="1:24" x14ac:dyDescent="0.15">
      <c r="C12" s="6">
        <v>0</v>
      </c>
      <c r="D12" s="167">
        <f>(L1_^p+(L2_^p-L1_^p)*(1-EXP(-k*((C12+offset-shift)-A1_)))/(1-EXP(-k*(A2_-A1_))))^(1/p)</f>
        <v>35.36307336354951</v>
      </c>
      <c r="E12" s="13">
        <f t="shared" ref="E12:E47" si="0">IF(C12&gt;tmax," ",a*(D12)^b)</f>
        <v>1.0057409296356601</v>
      </c>
      <c r="F12" s="30">
        <f>IF(C12&gt;tmax," ",alpha*E12^beta)</f>
        <v>2.9950580953886958</v>
      </c>
      <c r="G12" s="30" t="str">
        <f>IF(OR(C12&lt;full_sel_age,C12&gt;tmax),"",F12)</f>
        <v/>
      </c>
      <c r="H12" s="31">
        <f t="shared" ref="H12:H58" si="1">IF(C12&gt;tmax,"",F12*cum_M/cum_L)</f>
        <v>0.88550728086715602</v>
      </c>
      <c r="I12" s="32" t="str">
        <f>IF(OR(C12&lt;plus_age,C12&gt;tmax),"",IF(C12=plus_age,1,I10*EXP(-H10)))</f>
        <v/>
      </c>
      <c r="J12" s="33">
        <f t="shared" ref="J12:J58" si="2">IF(C12&lt;plus_age,H12,plus_m)</f>
        <v>0.88550728086715602</v>
      </c>
      <c r="K12" t="str">
        <f t="shared" ref="K12:K23" si="3">IF(C12&gt;=full_sel_age,J12,"")</f>
        <v/>
      </c>
      <c r="L12" s="82"/>
      <c r="M12" s="153">
        <f>target_M+0.05</f>
        <v>0.23868662257633638</v>
      </c>
      <c r="N12" s="153"/>
      <c r="O12" s="9"/>
      <c r="W12">
        <v>0.14000000000000001</v>
      </c>
    </row>
    <row r="13" spans="1:24" x14ac:dyDescent="0.15">
      <c r="C13" s="6">
        <f t="shared" ref="C13:C38" si="4">IF(C12&lt;tmax,C12+1," ")</f>
        <v>1</v>
      </c>
      <c r="D13" s="167">
        <f t="shared" ref="D13:D47" si="5">(L1_^p+(L2_^p-L1_^p)*(1-EXP(-k*((C13+offset-shift)-A1_)))/(1-EXP(-k*(A2_-A1_))))^(1/p)</f>
        <v>50.922390551120031</v>
      </c>
      <c r="E13" s="13">
        <f t="shared" si="0"/>
        <v>2.87285771596519</v>
      </c>
      <c r="F13" s="30">
        <f t="shared" ref="F13:F58" si="6">IF(C13&gt;tmax," ",alpha*E13^beta)</f>
        <v>2.2137409000404529</v>
      </c>
      <c r="G13" s="30" t="str">
        <f t="shared" ref="G13:G58" si="7">IF(OR(C13&lt;full_sel_age,C13&gt;tmax),"",F13)</f>
        <v/>
      </c>
      <c r="H13" s="31">
        <f t="shared" si="1"/>
        <v>0.65450606382472465</v>
      </c>
      <c r="I13" s="32" t="str">
        <f t="shared" ref="I13:I30" si="8">IF(OR(C13&lt;plus_age,C13&gt;tmax),"",IF(C13=plus_age,1,I12*EXP(-H12)))</f>
        <v/>
      </c>
      <c r="J13" s="35">
        <f t="shared" si="2"/>
        <v>0.65450606382472465</v>
      </c>
      <c r="K13" t="str">
        <f t="shared" si="3"/>
        <v/>
      </c>
      <c r="L13" s="82"/>
      <c r="M13" s="153"/>
      <c r="N13" s="153"/>
      <c r="O13" s="9"/>
      <c r="P13" t="s">
        <v>5</v>
      </c>
      <c r="Q13" t="s">
        <v>5</v>
      </c>
      <c r="V13">
        <v>1</v>
      </c>
      <c r="W13">
        <v>0.14000000000000001</v>
      </c>
      <c r="X13">
        <v>0.49</v>
      </c>
    </row>
    <row r="14" spans="1:24" x14ac:dyDescent="0.15">
      <c r="C14" s="6">
        <f t="shared" si="4"/>
        <v>2</v>
      </c>
      <c r="D14" s="167">
        <f t="shared" si="5"/>
        <v>69.05655494855786</v>
      </c>
      <c r="E14" s="13">
        <f t="shared" si="0"/>
        <v>6.9043378006352656</v>
      </c>
      <c r="F14" s="30">
        <f t="shared" si="6"/>
        <v>1.7197056165149149</v>
      </c>
      <c r="G14" s="30" t="str">
        <f t="shared" si="7"/>
        <v/>
      </c>
      <c r="H14" s="31">
        <f t="shared" si="1"/>
        <v>0.50844150459608017</v>
      </c>
      <c r="I14" s="32" t="str">
        <f t="shared" si="8"/>
        <v/>
      </c>
      <c r="J14" s="35">
        <f t="shared" si="2"/>
        <v>0.50844150459608017</v>
      </c>
      <c r="K14" t="str">
        <f t="shared" si="3"/>
        <v/>
      </c>
      <c r="L14" s="82"/>
      <c r="M14" s="153"/>
      <c r="N14" s="153"/>
      <c r="O14" s="9"/>
      <c r="P14" t="s">
        <v>5</v>
      </c>
      <c r="Q14" t="s">
        <v>5</v>
      </c>
      <c r="V14">
        <v>2</v>
      </c>
      <c r="W14">
        <v>0.14000000000000001</v>
      </c>
      <c r="X14">
        <v>0.24</v>
      </c>
    </row>
    <row r="15" spans="1:24" x14ac:dyDescent="0.15">
      <c r="C15" s="6">
        <f t="shared" si="4"/>
        <v>3</v>
      </c>
      <c r="D15" s="167">
        <f t="shared" si="5"/>
        <v>88.917611017318748</v>
      </c>
      <c r="E15" s="13">
        <f t="shared" si="0"/>
        <v>14.293107622429364</v>
      </c>
      <c r="F15" s="30">
        <f t="shared" si="6"/>
        <v>1.3945843123922674</v>
      </c>
      <c r="G15" s="30" t="str">
        <f t="shared" si="7"/>
        <v/>
      </c>
      <c r="H15" s="31">
        <f t="shared" si="1"/>
        <v>0.41231739855323346</v>
      </c>
      <c r="I15" s="32" t="str">
        <f t="shared" si="8"/>
        <v/>
      </c>
      <c r="J15" s="35">
        <f t="shared" si="2"/>
        <v>0.41231739855323346</v>
      </c>
      <c r="K15" s="101" t="str">
        <f t="shared" si="3"/>
        <v/>
      </c>
      <c r="L15" s="82"/>
      <c r="M15" s="153"/>
      <c r="N15" s="153"/>
      <c r="O15" s="9"/>
      <c r="V15">
        <v>3</v>
      </c>
      <c r="W15">
        <v>0.14000000000000001</v>
      </c>
      <c r="X15">
        <v>0.24</v>
      </c>
    </row>
    <row r="16" spans="1:24" x14ac:dyDescent="0.15">
      <c r="C16" s="6">
        <f t="shared" si="4"/>
        <v>4</v>
      </c>
      <c r="D16" s="167">
        <f t="shared" si="5"/>
        <v>109.53793064983296</v>
      </c>
      <c r="E16" s="13">
        <f t="shared" si="0"/>
        <v>26.052379138399161</v>
      </c>
      <c r="F16" s="30">
        <f t="shared" si="6"/>
        <v>1.1731598908033003</v>
      </c>
      <c r="G16" s="30">
        <f t="shared" si="7"/>
        <v>1.1731598908033003</v>
      </c>
      <c r="H16" s="31">
        <f t="shared" si="1"/>
        <v>0.34685191132922588</v>
      </c>
      <c r="I16" s="32" t="str">
        <f t="shared" si="8"/>
        <v/>
      </c>
      <c r="J16" s="35">
        <f t="shared" si="2"/>
        <v>0.34685191132922588</v>
      </c>
      <c r="K16" s="101">
        <f t="shared" si="3"/>
        <v>0.34685191132922588</v>
      </c>
      <c r="L16" s="82"/>
      <c r="M16" s="153"/>
      <c r="N16" s="153"/>
      <c r="O16" s="9"/>
      <c r="V16">
        <v>4</v>
      </c>
      <c r="W16">
        <v>0.14000000000000001</v>
      </c>
      <c r="X16">
        <v>0.24</v>
      </c>
    </row>
    <row r="17" spans="1:24" x14ac:dyDescent="0.15">
      <c r="B17">
        <f>SUM(D16:D17)/2</f>
        <v>119.76698875126914</v>
      </c>
      <c r="C17" s="6">
        <f t="shared" si="4"/>
        <v>5</v>
      </c>
      <c r="D17" s="167">
        <f t="shared" si="5"/>
        <v>129.99604685270532</v>
      </c>
      <c r="E17" s="13">
        <f t="shared" si="0"/>
        <v>42.648637824632658</v>
      </c>
      <c r="F17" s="30">
        <f t="shared" si="6"/>
        <v>1.0179080930716871</v>
      </c>
      <c r="G17" s="30">
        <f t="shared" si="7"/>
        <v>1.0179080930716871</v>
      </c>
      <c r="H17" s="31">
        <f t="shared" si="1"/>
        <v>0.30095076588208997</v>
      </c>
      <c r="I17" s="32" t="str">
        <f t="shared" si="8"/>
        <v/>
      </c>
      <c r="J17" s="35">
        <f t="shared" si="2"/>
        <v>0.30095076588208997</v>
      </c>
      <c r="K17" s="101">
        <f t="shared" si="3"/>
        <v>0.30095076588208997</v>
      </c>
      <c r="L17" s="82"/>
      <c r="M17" s="153"/>
      <c r="N17" s="153"/>
      <c r="O17" s="9"/>
      <c r="V17">
        <v>5</v>
      </c>
      <c r="W17">
        <v>0.14000000000000001</v>
      </c>
      <c r="X17">
        <v>0.24</v>
      </c>
    </row>
    <row r="18" spans="1:24" x14ac:dyDescent="0.15">
      <c r="A18" t="s">
        <v>5</v>
      </c>
      <c r="C18" s="6">
        <f t="shared" si="4"/>
        <v>6</v>
      </c>
      <c r="D18" s="167">
        <f t="shared" si="5"/>
        <v>149.53238717968014</v>
      </c>
      <c r="E18" s="13">
        <f t="shared" si="0"/>
        <v>63.816021521973767</v>
      </c>
      <c r="F18" s="30">
        <f t="shared" si="6"/>
        <v>0.90636159241921543</v>
      </c>
      <c r="G18" s="30">
        <f t="shared" si="7"/>
        <v>0.90636159241921543</v>
      </c>
      <c r="H18" s="31">
        <f t="shared" si="1"/>
        <v>0.26797135936069566</v>
      </c>
      <c r="I18" s="32" t="str">
        <f t="shared" si="8"/>
        <v/>
      </c>
      <c r="J18" s="35">
        <f t="shared" si="2"/>
        <v>0.26797135936069566</v>
      </c>
      <c r="K18" s="101">
        <f t="shared" si="3"/>
        <v>0.26797135936069566</v>
      </c>
      <c r="L18" s="82"/>
      <c r="M18" s="153"/>
      <c r="N18" s="153"/>
      <c r="O18" s="9"/>
      <c r="V18">
        <v>6</v>
      </c>
      <c r="W18">
        <v>0.14000000000000001</v>
      </c>
      <c r="X18">
        <v>0.2</v>
      </c>
    </row>
    <row r="19" spans="1:24" x14ac:dyDescent="0.15">
      <c r="C19" s="6">
        <f t="shared" si="4"/>
        <v>7</v>
      </c>
      <c r="D19" s="167">
        <f t="shared" si="5"/>
        <v>167.60322237099862</v>
      </c>
      <c r="E19" s="13">
        <f t="shared" si="0"/>
        <v>88.623442991927519</v>
      </c>
      <c r="F19" s="30">
        <f t="shared" si="6"/>
        <v>0.82456947347036669</v>
      </c>
      <c r="G19" s="30">
        <f t="shared" si="7"/>
        <v>0.82456947347036669</v>
      </c>
      <c r="H19" s="31">
        <f>IF(C19&gt;tmax,"",F19*cum_M/cum_L)</f>
        <v>0.24378901813724155</v>
      </c>
      <c r="I19" s="32" t="str">
        <f t="shared" si="8"/>
        <v/>
      </c>
      <c r="J19" s="35">
        <f t="shared" si="2"/>
        <v>0.24378901813724155</v>
      </c>
      <c r="K19" s="101">
        <f t="shared" si="3"/>
        <v>0.24378901813724155</v>
      </c>
      <c r="L19" s="82"/>
      <c r="M19" s="153"/>
      <c r="N19" s="153"/>
      <c r="O19" s="9"/>
      <c r="V19">
        <v>7</v>
      </c>
      <c r="W19">
        <v>0.14000000000000001</v>
      </c>
      <c r="X19">
        <v>0.17499999999999999</v>
      </c>
    </row>
    <row r="20" spans="1:24" x14ac:dyDescent="0.15">
      <c r="C20" s="6">
        <f t="shared" si="4"/>
        <v>8</v>
      </c>
      <c r="D20" s="167">
        <f t="shared" si="5"/>
        <v>183.88290716193168</v>
      </c>
      <c r="E20" s="13">
        <f t="shared" si="0"/>
        <v>115.72632677800127</v>
      </c>
      <c r="F20" s="30">
        <f t="shared" si="6"/>
        <v>0.76357691526101967</v>
      </c>
      <c r="G20" s="30">
        <f t="shared" si="7"/>
        <v>0.76357691526101967</v>
      </c>
      <c r="H20" s="31">
        <f t="shared" si="1"/>
        <v>0.22575619451480652</v>
      </c>
      <c r="I20" s="32" t="str">
        <f t="shared" si="8"/>
        <v/>
      </c>
      <c r="J20" s="35">
        <f t="shared" si="2"/>
        <v>0.22575619451480652</v>
      </c>
      <c r="K20" s="101">
        <f t="shared" si="3"/>
        <v>0.22575619451480652</v>
      </c>
      <c r="L20" s="82"/>
      <c r="M20" s="153"/>
      <c r="N20" s="153"/>
      <c r="O20" s="9"/>
      <c r="V20">
        <v>8</v>
      </c>
      <c r="W20">
        <v>0.14000000000000001</v>
      </c>
      <c r="X20">
        <v>0.15</v>
      </c>
    </row>
    <row r="21" spans="1:24" x14ac:dyDescent="0.15">
      <c r="C21" s="6">
        <f t="shared" si="4"/>
        <v>9</v>
      </c>
      <c r="D21" s="167">
        <f t="shared" si="5"/>
        <v>198.2334947051672</v>
      </c>
      <c r="E21" s="13">
        <f t="shared" si="0"/>
        <v>143.67207460020708</v>
      </c>
      <c r="F21" s="30">
        <f t="shared" si="6"/>
        <v>0.71746053029504342</v>
      </c>
      <c r="G21" s="30">
        <f t="shared" si="7"/>
        <v>0.71746053029504342</v>
      </c>
      <c r="H21" s="31">
        <f t="shared" si="1"/>
        <v>0.21212160267916969</v>
      </c>
      <c r="I21" s="32" t="str">
        <f t="shared" si="8"/>
        <v/>
      </c>
      <c r="J21" s="35">
        <f t="shared" si="2"/>
        <v>0.21212160267916969</v>
      </c>
      <c r="K21" s="101">
        <f t="shared" si="3"/>
        <v>0.21212160267916969</v>
      </c>
      <c r="L21" s="82"/>
      <c r="M21" s="153"/>
      <c r="N21" s="153"/>
      <c r="O21" s="9"/>
      <c r="P21" s="82"/>
      <c r="V21">
        <v>9</v>
      </c>
      <c r="W21">
        <v>0.14000000000000001</v>
      </c>
      <c r="X21">
        <v>0.125</v>
      </c>
    </row>
    <row r="22" spans="1:24" x14ac:dyDescent="0.15">
      <c r="C22" s="6">
        <f t="shared" si="4"/>
        <v>10</v>
      </c>
      <c r="D22" s="167">
        <f t="shared" si="5"/>
        <v>210.66011566192304</v>
      </c>
      <c r="E22" s="13">
        <f t="shared" si="0"/>
        <v>171.15069631941589</v>
      </c>
      <c r="F22" s="30">
        <f t="shared" si="6"/>
        <v>0.68219447477151829</v>
      </c>
      <c r="G22" s="30">
        <f t="shared" si="7"/>
        <v>0.68219447477151829</v>
      </c>
      <c r="H22" s="31">
        <f t="shared" si="1"/>
        <v>0.20169497723853894</v>
      </c>
      <c r="I22" s="32" t="str">
        <f t="shared" si="8"/>
        <v/>
      </c>
      <c r="J22" s="35">
        <f t="shared" si="2"/>
        <v>0.20169497723853894</v>
      </c>
      <c r="K22" s="101">
        <f t="shared" si="3"/>
        <v>0.20169497723853894</v>
      </c>
      <c r="L22" s="82"/>
      <c r="M22" s="153"/>
      <c r="N22" s="153"/>
      <c r="O22" s="9"/>
      <c r="P22" s="82"/>
      <c r="V22">
        <v>10</v>
      </c>
      <c r="W22">
        <v>0.14000000000000001</v>
      </c>
      <c r="X22">
        <v>0.1</v>
      </c>
    </row>
    <row r="23" spans="1:24" x14ac:dyDescent="0.15">
      <c r="C23" s="6">
        <f t="shared" si="4"/>
        <v>11</v>
      </c>
      <c r="D23" s="167">
        <f t="shared" si="5"/>
        <v>221.26528627493616</v>
      </c>
      <c r="E23" s="13">
        <f t="shared" si="0"/>
        <v>197.14184188739878</v>
      </c>
      <c r="F23" s="30">
        <f t="shared" si="6"/>
        <v>0.6549753528104546</v>
      </c>
      <c r="G23" s="30">
        <f t="shared" si="7"/>
        <v>0.6549753528104546</v>
      </c>
      <c r="H23" s="31">
        <f t="shared" si="1"/>
        <v>0.1936474770206158</v>
      </c>
      <c r="I23" s="32" t="str">
        <f t="shared" si="8"/>
        <v/>
      </c>
      <c r="J23" s="35">
        <f t="shared" si="2"/>
        <v>0.1936474770206158</v>
      </c>
      <c r="K23" s="101">
        <f t="shared" si="3"/>
        <v>0.1936474770206158</v>
      </c>
      <c r="L23" s="9"/>
      <c r="M23" s="153"/>
      <c r="N23" s="153"/>
      <c r="O23" s="154"/>
      <c r="P23" s="82"/>
      <c r="V23">
        <v>11</v>
      </c>
      <c r="W23">
        <v>0.14000000000000001</v>
      </c>
      <c r="X23">
        <v>0.1</v>
      </c>
    </row>
    <row r="24" spans="1:24" x14ac:dyDescent="0.15">
      <c r="C24" s="6">
        <f t="shared" si="4"/>
        <v>12</v>
      </c>
      <c r="D24" s="167">
        <f t="shared" si="5"/>
        <v>230.20947061321465</v>
      </c>
      <c r="E24" s="13">
        <f t="shared" si="0"/>
        <v>220.96153080381706</v>
      </c>
      <c r="F24" s="30">
        <f t="shared" si="6"/>
        <v>0.6338084920408823</v>
      </c>
      <c r="G24" s="30">
        <f t="shared" si="7"/>
        <v>0.6338084920408823</v>
      </c>
      <c r="H24" s="31">
        <f t="shared" si="1"/>
        <v>0.18738936491473857</v>
      </c>
      <c r="I24" s="32" t="str">
        <f t="shared" si="8"/>
        <v/>
      </c>
      <c r="J24" s="35">
        <f t="shared" si="2"/>
        <v>0.18738936491473857</v>
      </c>
      <c r="L24" s="9"/>
      <c r="M24" s="9"/>
      <c r="N24" s="104"/>
      <c r="O24" s="9"/>
      <c r="P24" s="82"/>
      <c r="V24">
        <v>12</v>
      </c>
      <c r="W24">
        <v>0.14000000000000001</v>
      </c>
      <c r="X24">
        <v>0.1</v>
      </c>
    </row>
    <row r="25" spans="1:24" x14ac:dyDescent="0.15">
      <c r="C25" s="6">
        <f t="shared" si="4"/>
        <v>13</v>
      </c>
      <c r="D25" s="167">
        <f t="shared" si="5"/>
        <v>237.68068644881029</v>
      </c>
      <c r="E25" s="13">
        <f t="shared" si="0"/>
        <v>242.23830572135046</v>
      </c>
      <c r="F25" s="30">
        <f t="shared" si="6"/>
        <v>0.61724747565894422</v>
      </c>
      <c r="G25" s="30">
        <f t="shared" si="7"/>
        <v>0.61724747565894422</v>
      </c>
      <c r="H25" s="31">
        <f t="shared" si="1"/>
        <v>0.18249299892860124</v>
      </c>
      <c r="I25" s="32" t="str">
        <f t="shared" si="8"/>
        <v/>
      </c>
      <c r="J25" s="35">
        <f t="shared" si="2"/>
        <v>0.18249299892860124</v>
      </c>
      <c r="L25" s="9"/>
      <c r="M25" s="9"/>
      <c r="N25" s="104"/>
      <c r="O25" s="82"/>
      <c r="P25" s="82"/>
      <c r="V25">
        <v>13</v>
      </c>
      <c r="W25">
        <v>0.14000000000000001</v>
      </c>
      <c r="X25">
        <v>0.1</v>
      </c>
    </row>
    <row r="26" spans="1:24" x14ac:dyDescent="0.15">
      <c r="C26" s="6">
        <f t="shared" si="4"/>
        <v>14</v>
      </c>
      <c r="D26" s="167">
        <f t="shared" si="5"/>
        <v>243.87314265619261</v>
      </c>
      <c r="E26" s="13">
        <f t="shared" si="0"/>
        <v>260.85271012789673</v>
      </c>
      <c r="F26" s="30">
        <f t="shared" si="6"/>
        <v>0.60422597754574614</v>
      </c>
      <c r="G26" s="30">
        <f t="shared" si="7"/>
        <v>0.60422597754574614</v>
      </c>
      <c r="H26" s="31">
        <f t="shared" si="1"/>
        <v>0.17864311321026149</v>
      </c>
      <c r="I26" s="32" t="str">
        <f t="shared" si="8"/>
        <v/>
      </c>
      <c r="J26" s="35">
        <f t="shared" si="2"/>
        <v>0.17864311321026149</v>
      </c>
      <c r="L26" s="9"/>
      <c r="M26" s="9"/>
      <c r="N26" s="104"/>
      <c r="O26" s="82"/>
      <c r="P26" s="82"/>
      <c r="V26">
        <v>14</v>
      </c>
      <c r="W26">
        <v>0.14000000000000001</v>
      </c>
      <c r="X26">
        <v>0.1</v>
      </c>
    </row>
    <row r="27" spans="1:24" x14ac:dyDescent="0.15">
      <c r="C27" s="6">
        <f t="shared" si="4"/>
        <v>15</v>
      </c>
      <c r="D27" s="167">
        <f t="shared" si="5"/>
        <v>248.97353047749453</v>
      </c>
      <c r="E27" s="13">
        <f t="shared" si="0"/>
        <v>276.86645065579546</v>
      </c>
      <c r="F27" s="30">
        <f t="shared" si="6"/>
        <v>0.59394659748618184</v>
      </c>
      <c r="G27" s="30">
        <f t="shared" si="7"/>
        <v>0.59394659748618184</v>
      </c>
      <c r="H27" s="31">
        <f t="shared" si="1"/>
        <v>0.17560395149932193</v>
      </c>
      <c r="I27" s="32" t="str">
        <f t="shared" si="8"/>
        <v/>
      </c>
      <c r="J27" s="35">
        <f t="shared" si="2"/>
        <v>0.17560395149932193</v>
      </c>
      <c r="L27" s="9"/>
      <c r="M27" s="9"/>
      <c r="N27" s="104"/>
      <c r="O27" s="82"/>
      <c r="P27" s="82"/>
      <c r="V27">
        <v>15</v>
      </c>
      <c r="W27">
        <v>0.14000000000000001</v>
      </c>
      <c r="X27">
        <v>0.1</v>
      </c>
    </row>
    <row r="28" spans="1:24" x14ac:dyDescent="0.15">
      <c r="C28" s="6">
        <f t="shared" si="4"/>
        <v>16</v>
      </c>
      <c r="D28" s="167">
        <f t="shared" si="5"/>
        <v>253.15316757529988</v>
      </c>
      <c r="E28" s="13">
        <f t="shared" si="0"/>
        <v>290.45715257558874</v>
      </c>
      <c r="F28" s="30">
        <f t="shared" si="6"/>
        <v>0.5858057321415937</v>
      </c>
      <c r="G28" s="30">
        <f t="shared" si="7"/>
        <v>0.5858057321415937</v>
      </c>
      <c r="H28" s="31">
        <f t="shared" si="1"/>
        <v>0.17319705476957542</v>
      </c>
      <c r="I28" s="32" t="str">
        <f t="shared" si="8"/>
        <v/>
      </c>
      <c r="J28" s="35">
        <f t="shared" si="2"/>
        <v>0.17319705476957542</v>
      </c>
      <c r="L28" s="9"/>
      <c r="M28" s="9"/>
      <c r="N28" s="104"/>
      <c r="O28" s="82"/>
      <c r="P28" s="82"/>
      <c r="V28">
        <v>16</v>
      </c>
      <c r="W28">
        <v>0.14000000000000001</v>
      </c>
      <c r="X28">
        <v>0.1</v>
      </c>
    </row>
    <row r="29" spans="1:24" x14ac:dyDescent="0.15">
      <c r="C29" s="6">
        <f t="shared" si="4"/>
        <v>17</v>
      </c>
      <c r="D29" s="167">
        <f t="shared" si="5"/>
        <v>256.56428075813568</v>
      </c>
      <c r="E29" s="13">
        <f t="shared" si="0"/>
        <v>301.86587078366614</v>
      </c>
      <c r="F29" s="30">
        <f t="shared" si="6"/>
        <v>0.57934173906223574</v>
      </c>
      <c r="G29" s="30">
        <f t="shared" si="7"/>
        <v>0.57934173906223574</v>
      </c>
      <c r="H29" s="31">
        <f t="shared" si="1"/>
        <v>0.17128593560161698</v>
      </c>
      <c r="I29" s="32" t="str">
        <f t="shared" si="8"/>
        <v/>
      </c>
      <c r="J29" s="35">
        <f t="shared" si="2"/>
        <v>0.17128593560161698</v>
      </c>
      <c r="L29" s="9"/>
      <c r="M29" s="9"/>
      <c r="N29" s="104"/>
      <c r="O29" s="82"/>
      <c r="P29" s="82"/>
      <c r="V29">
        <v>17</v>
      </c>
      <c r="W29">
        <v>0.14000000000000001</v>
      </c>
      <c r="X29">
        <v>0.1</v>
      </c>
    </row>
    <row r="30" spans="1:24" x14ac:dyDescent="0.15">
      <c r="C30" s="6">
        <f t="shared" si="4"/>
        <v>18</v>
      </c>
      <c r="D30" s="167">
        <f t="shared" si="5"/>
        <v>259.33901586017458</v>
      </c>
      <c r="E30" s="13">
        <f t="shared" si="0"/>
        <v>311.3588207498882</v>
      </c>
      <c r="F30" s="30">
        <f t="shared" si="6"/>
        <v>0.57419847758541165</v>
      </c>
      <c r="G30" s="30">
        <f t="shared" si="7"/>
        <v>0.57419847758541165</v>
      </c>
      <c r="H30" s="31">
        <f t="shared" si="1"/>
        <v>0.16976529882594193</v>
      </c>
      <c r="I30" s="32" t="str">
        <f t="shared" si="8"/>
        <v/>
      </c>
      <c r="J30" s="35">
        <f t="shared" si="2"/>
        <v>0.16976529882594193</v>
      </c>
      <c r="L30" s="9"/>
      <c r="M30" s="9"/>
      <c r="N30" s="104"/>
      <c r="O30" s="82"/>
      <c r="P30" s="82"/>
      <c r="V30">
        <v>18</v>
      </c>
      <c r="W30">
        <v>0.14000000000000001</v>
      </c>
      <c r="X30">
        <v>0.1</v>
      </c>
    </row>
    <row r="31" spans="1:24" x14ac:dyDescent="0.15">
      <c r="C31" s="6">
        <f t="shared" si="4"/>
        <v>19</v>
      </c>
      <c r="D31" s="167">
        <f t="shared" si="5"/>
        <v>261.59011221185176</v>
      </c>
      <c r="E31" s="13">
        <f t="shared" si="0"/>
        <v>319.20180672537418</v>
      </c>
      <c r="F31" s="30">
        <f t="shared" si="6"/>
        <v>0.57009920653729851</v>
      </c>
      <c r="G31" s="30">
        <f t="shared" si="7"/>
        <v>0.57009920653729851</v>
      </c>
      <c r="H31" s="31">
        <f t="shared" si="1"/>
        <v>0.16855332421852418</v>
      </c>
      <c r="I31" s="32" t="str">
        <f t="shared" ref="I31:I58" si="9">IF(OR(C31&lt;plus_age,C31&gt;tmax),"",IF(C31=plus_age,1,I30*EXP(-H30-F)))</f>
        <v/>
      </c>
      <c r="J31" s="35">
        <f t="shared" si="2"/>
        <v>0.16855332421852418</v>
      </c>
      <c r="L31" s="9"/>
      <c r="M31" s="9"/>
      <c r="N31" s="104"/>
      <c r="O31" s="82"/>
      <c r="P31" s="82"/>
      <c r="V31">
        <v>19</v>
      </c>
      <c r="W31">
        <v>0.14000000000000001</v>
      </c>
      <c r="X31">
        <v>0.1</v>
      </c>
    </row>
    <row r="32" spans="1:24" x14ac:dyDescent="0.15">
      <c r="C32" s="6">
        <f t="shared" si="4"/>
        <v>20</v>
      </c>
      <c r="D32" s="167">
        <f t="shared" si="5"/>
        <v>263.41249326469494</v>
      </c>
      <c r="E32" s="13">
        <f t="shared" si="0"/>
        <v>325.64468920941823</v>
      </c>
      <c r="F32" s="30">
        <f t="shared" si="6"/>
        <v>0.56682759214310763</v>
      </c>
      <c r="G32" s="30">
        <f t="shared" si="7"/>
        <v>0.56682759214310763</v>
      </c>
      <c r="H32" s="31">
        <f t="shared" si="1"/>
        <v>0.16758605137306379</v>
      </c>
      <c r="I32" s="32" t="str">
        <f t="shared" si="9"/>
        <v/>
      </c>
      <c r="J32" s="35">
        <f t="shared" si="2"/>
        <v>0.16758605137306379</v>
      </c>
      <c r="L32" s="9"/>
      <c r="M32" s="9"/>
      <c r="N32" s="104"/>
      <c r="O32" s="82"/>
      <c r="P32" s="82"/>
      <c r="V32">
        <v>20</v>
      </c>
      <c r="W32">
        <v>0.14000000000000001</v>
      </c>
      <c r="X32">
        <v>0.1</v>
      </c>
    </row>
    <row r="33" spans="3:24" x14ac:dyDescent="0.15">
      <c r="C33" s="6">
        <f t="shared" si="4"/>
        <v>21</v>
      </c>
      <c r="D33" s="167">
        <f t="shared" si="5"/>
        <v>264.88527549781969</v>
      </c>
      <c r="E33" s="13">
        <f t="shared" si="0"/>
        <v>330.91314563441625</v>
      </c>
      <c r="F33" s="30">
        <f t="shared" si="6"/>
        <v>0.56421368656372672</v>
      </c>
      <c r="G33" s="30">
        <f t="shared" si="7"/>
        <v>0.56421368656372672</v>
      </c>
      <c r="H33" s="31">
        <f t="shared" si="1"/>
        <v>0.16681323416941596</v>
      </c>
      <c r="I33" s="32" t="str">
        <f t="shared" si="9"/>
        <v/>
      </c>
      <c r="J33" s="35">
        <f t="shared" si="2"/>
        <v>0.16681323416941596</v>
      </c>
      <c r="L33" s="9"/>
      <c r="M33" s="9"/>
      <c r="N33" s="104"/>
      <c r="O33" s="82"/>
      <c r="P33" s="82"/>
      <c r="V33">
        <v>21</v>
      </c>
      <c r="W33">
        <v>0.14000000000000001</v>
      </c>
      <c r="X33">
        <v>0.1</v>
      </c>
    </row>
    <row r="34" spans="3:24" x14ac:dyDescent="0.15">
      <c r="C34" s="6">
        <f t="shared" si="4"/>
        <v>22</v>
      </c>
      <c r="D34" s="167">
        <f t="shared" si="5"/>
        <v>266.073882940705</v>
      </c>
      <c r="E34" s="13">
        <f t="shared" si="0"/>
        <v>335.20536974803514</v>
      </c>
      <c r="F34" s="30">
        <f t="shared" si="6"/>
        <v>0.56212344112343482</v>
      </c>
      <c r="G34" s="30">
        <f t="shared" si="7"/>
        <v>0.56212344112343482</v>
      </c>
      <c r="H34" s="31">
        <f t="shared" si="1"/>
        <v>0.16619524029509761</v>
      </c>
      <c r="I34" s="32" t="str">
        <f t="shared" si="9"/>
        <v/>
      </c>
      <c r="J34" s="35">
        <f t="shared" si="2"/>
        <v>0.16619524029509761</v>
      </c>
      <c r="L34" s="9"/>
      <c r="M34" s="9"/>
      <c r="N34" s="104"/>
      <c r="O34" s="82"/>
      <c r="P34" s="82"/>
      <c r="V34">
        <v>22</v>
      </c>
      <c r="W34">
        <v>0.14000000000000001</v>
      </c>
      <c r="X34">
        <v>0.1</v>
      </c>
    </row>
    <row r="35" spans="3:24" x14ac:dyDescent="0.15">
      <c r="C35" s="6">
        <f t="shared" si="4"/>
        <v>23</v>
      </c>
      <c r="D35" s="167">
        <f t="shared" si="5"/>
        <v>267.03208408248298</v>
      </c>
      <c r="E35" s="13">
        <f t="shared" si="0"/>
        <v>338.69189058278442</v>
      </c>
      <c r="F35" s="30">
        <f t="shared" si="6"/>
        <v>0.5604507733963604</v>
      </c>
      <c r="G35" s="30">
        <f t="shared" si="7"/>
        <v>0.5604507733963604</v>
      </c>
      <c r="H35" s="31">
        <f t="shared" si="1"/>
        <v>0.16570070583078242</v>
      </c>
      <c r="I35" s="32" t="str">
        <f t="shared" si="9"/>
        <v/>
      </c>
      <c r="J35" s="35">
        <f t="shared" si="2"/>
        <v>0.16570070583078242</v>
      </c>
      <c r="L35" s="34" t="s">
        <v>94</v>
      </c>
      <c r="M35" s="82"/>
      <c r="N35" s="103"/>
      <c r="O35" s="82"/>
      <c r="P35" s="82"/>
      <c r="V35">
        <v>23</v>
      </c>
      <c r="W35">
        <v>0.14000000000000001</v>
      </c>
      <c r="X35">
        <v>0.1</v>
      </c>
    </row>
    <row r="36" spans="3:24" x14ac:dyDescent="0.15">
      <c r="C36" s="6">
        <f t="shared" si="4"/>
        <v>24</v>
      </c>
      <c r="D36" s="167">
        <f t="shared" si="5"/>
        <v>267.80385423457824</v>
      </c>
      <c r="E36" s="13">
        <f t="shared" si="0"/>
        <v>341.51720297748983</v>
      </c>
      <c r="F36" s="30">
        <f t="shared" si="6"/>
        <v>0.55911150667574416</v>
      </c>
      <c r="G36" s="30">
        <f t="shared" si="7"/>
        <v>0.55911150667574416</v>
      </c>
      <c r="H36" s="31">
        <f t="shared" si="1"/>
        <v>0.16530474341724705</v>
      </c>
      <c r="I36" s="32" t="str">
        <f t="shared" si="9"/>
        <v/>
      </c>
      <c r="J36" s="35">
        <f t="shared" si="2"/>
        <v>0.16530474341724705</v>
      </c>
      <c r="L36" s="102">
        <f>AVERAGE(J16:J47)</f>
        <v>0.18868662257633642</v>
      </c>
      <c r="M36" s="82"/>
      <c r="N36" s="103"/>
      <c r="O36" s="82"/>
      <c r="P36" s="82"/>
      <c r="V36">
        <v>24</v>
      </c>
      <c r="W36">
        <v>0.14000000000000001</v>
      </c>
      <c r="X36">
        <v>0.1</v>
      </c>
    </row>
    <row r="37" spans="3:24" ht="14.25" thickBot="1" x14ac:dyDescent="0.2">
      <c r="C37" s="6">
        <f t="shared" si="4"/>
        <v>25</v>
      </c>
      <c r="D37" s="167">
        <f t="shared" si="5"/>
        <v>268.42502139586395</v>
      </c>
      <c r="E37" s="13">
        <f t="shared" si="0"/>
        <v>343.80232198170785</v>
      </c>
      <c r="F37" s="30">
        <f t="shared" si="6"/>
        <v>0.55803870053400062</v>
      </c>
      <c r="G37" s="30">
        <f t="shared" si="7"/>
        <v>0.55803870053400062</v>
      </c>
      <c r="H37" s="31">
        <f t="shared" si="1"/>
        <v>0.16498756170683695</v>
      </c>
      <c r="I37" s="32" t="str">
        <f t="shared" si="9"/>
        <v/>
      </c>
      <c r="J37" s="36">
        <f t="shared" si="2"/>
        <v>0.16498756170683695</v>
      </c>
      <c r="V37">
        <v>25</v>
      </c>
      <c r="W37">
        <v>0.14000000000000001</v>
      </c>
      <c r="X37">
        <v>0.1</v>
      </c>
    </row>
    <row r="38" spans="3:24" x14ac:dyDescent="0.15">
      <c r="C38" s="6">
        <f t="shared" si="4"/>
        <v>26</v>
      </c>
      <c r="D38" s="167">
        <f t="shared" si="5"/>
        <v>268.92468696407281</v>
      </c>
      <c r="E38" s="13">
        <f t="shared" si="0"/>
        <v>345.64769054786802</v>
      </c>
      <c r="F38" s="30">
        <f t="shared" si="6"/>
        <v>0.5571790272348125</v>
      </c>
      <c r="G38" s="30">
        <f t="shared" si="7"/>
        <v>0.5571790272348125</v>
      </c>
      <c r="H38" s="31">
        <f t="shared" si="1"/>
        <v>0.1647333940274954</v>
      </c>
      <c r="I38" s="32" t="str">
        <f t="shared" si="9"/>
        <v/>
      </c>
      <c r="J38" s="37">
        <f t="shared" si="2"/>
        <v>0.1647333940274954</v>
      </c>
      <c r="V38">
        <v>26</v>
      </c>
      <c r="W38">
        <v>0.14000000000000001</v>
      </c>
      <c r="X38">
        <v>0.1</v>
      </c>
    </row>
    <row r="39" spans="3:24" x14ac:dyDescent="0.15">
      <c r="C39" s="6">
        <f>IF(C38&lt;tmax,C38+1,"")</f>
        <v>27</v>
      </c>
      <c r="D39" s="167">
        <f t="shared" si="5"/>
        <v>269.3264314868332</v>
      </c>
      <c r="E39" s="13">
        <f t="shared" si="0"/>
        <v>347.13609510631477</v>
      </c>
      <c r="F39" s="30">
        <f t="shared" si="6"/>
        <v>0.55648994271053187</v>
      </c>
      <c r="G39" s="30">
        <f t="shared" si="7"/>
        <v>0.55648994271053187</v>
      </c>
      <c r="H39" s="31">
        <f t="shared" si="1"/>
        <v>0.16452966196489438</v>
      </c>
      <c r="I39" s="32" t="str">
        <f t="shared" si="9"/>
        <v/>
      </c>
      <c r="J39" s="37">
        <f t="shared" si="2"/>
        <v>0.16452966196489438</v>
      </c>
      <c r="V39">
        <v>27</v>
      </c>
      <c r="W39">
        <v>0.14000000000000001</v>
      </c>
      <c r="X39">
        <v>0.1</v>
      </c>
    </row>
    <row r="40" spans="3:24" x14ac:dyDescent="0.15">
      <c r="C40" s="6">
        <f t="shared" ref="C40:C58" si="10">IF(C39&lt;tmax,C39+1," ")</f>
        <v>28</v>
      </c>
      <c r="D40" s="167">
        <f t="shared" si="5"/>
        <v>269.64932522084746</v>
      </c>
      <c r="E40" s="13">
        <f t="shared" si="0"/>
        <v>348.33539606470401</v>
      </c>
      <c r="F40" s="30">
        <f t="shared" si="6"/>
        <v>0.55593746671614386</v>
      </c>
      <c r="G40" s="30">
        <f t="shared" si="7"/>
        <v>0.55593746671614386</v>
      </c>
      <c r="H40" s="31">
        <f t="shared" si="1"/>
        <v>0.16436631905135018</v>
      </c>
      <c r="I40" s="32" t="str">
        <f t="shared" si="9"/>
        <v/>
      </c>
      <c r="J40" s="37">
        <f t="shared" si="2"/>
        <v>0.16436631905135018</v>
      </c>
      <c r="V40">
        <v>28</v>
      </c>
      <c r="W40">
        <v>0.14000000000000001</v>
      </c>
      <c r="X40">
        <v>0.1</v>
      </c>
    </row>
    <row r="41" spans="3:24" x14ac:dyDescent="0.15">
      <c r="C41" s="6">
        <f t="shared" si="10"/>
        <v>29</v>
      </c>
      <c r="D41" s="167">
        <f t="shared" si="5"/>
        <v>269.90876711736149</v>
      </c>
      <c r="E41" s="13">
        <f t="shared" si="0"/>
        <v>349.30097907072616</v>
      </c>
      <c r="F41" s="30">
        <f t="shared" si="6"/>
        <v>0.55549443369556117</v>
      </c>
      <c r="G41" s="30">
        <f t="shared" si="7"/>
        <v>0.55549443369556117</v>
      </c>
      <c r="H41" s="31">
        <f t="shared" si="1"/>
        <v>0.16423533362372372</v>
      </c>
      <c r="I41" s="32" t="str">
        <f t="shared" si="9"/>
        <v/>
      </c>
      <c r="J41" s="37">
        <f t="shared" si="2"/>
        <v>0.16423533362372372</v>
      </c>
      <c r="V41">
        <v>29</v>
      </c>
      <c r="W41">
        <v>0.14000000000000001</v>
      </c>
      <c r="X41">
        <v>0.1</v>
      </c>
    </row>
    <row r="42" spans="3:24" x14ac:dyDescent="0.15">
      <c r="C42" s="6">
        <f t="shared" si="10"/>
        <v>30</v>
      </c>
      <c r="D42" s="167">
        <f t="shared" si="5"/>
        <v>270.11717633436456</v>
      </c>
      <c r="E42" s="13">
        <f t="shared" si="0"/>
        <v>350.07789404183228</v>
      </c>
      <c r="F42" s="30">
        <f t="shared" si="6"/>
        <v>0.5551391097966375</v>
      </c>
      <c r="G42" s="30">
        <f t="shared" si="7"/>
        <v>0.5551391097966375</v>
      </c>
      <c r="H42" s="31">
        <f t="shared" si="1"/>
        <v>0.16413027993543386</v>
      </c>
      <c r="I42" s="32" t="str">
        <f t="shared" si="9"/>
        <v/>
      </c>
      <c r="J42" s="37">
        <f t="shared" si="2"/>
        <v>0.16413027993543386</v>
      </c>
      <c r="V42">
        <v>30</v>
      </c>
      <c r="W42">
        <v>0.14000000000000001</v>
      </c>
      <c r="X42">
        <v>0.1</v>
      </c>
    </row>
    <row r="43" spans="3:24" x14ac:dyDescent="0.15">
      <c r="C43" s="6">
        <f t="shared" si="10"/>
        <v>31</v>
      </c>
      <c r="D43" s="167">
        <f t="shared" si="5"/>
        <v>270.28455901120424</v>
      </c>
      <c r="E43" s="13">
        <f t="shared" si="0"/>
        <v>350.70268476289158</v>
      </c>
      <c r="F43" s="30">
        <f t="shared" si="6"/>
        <v>0.55485409629913518</v>
      </c>
      <c r="G43" s="30">
        <f t="shared" si="7"/>
        <v>0.55485409629913518</v>
      </c>
      <c r="H43" s="31">
        <f t="shared" si="1"/>
        <v>0.16404601394821569</v>
      </c>
      <c r="I43" s="32" t="str">
        <f t="shared" si="9"/>
        <v/>
      </c>
      <c r="J43" s="37">
        <f t="shared" si="2"/>
        <v>0.16404601394821569</v>
      </c>
      <c r="V43">
        <v>31</v>
      </c>
      <c r="W43">
        <v>0.14000000000000001</v>
      </c>
      <c r="X43">
        <v>0.1</v>
      </c>
    </row>
    <row r="44" spans="3:24" x14ac:dyDescent="0.15">
      <c r="C44" s="6">
        <f t="shared" si="10"/>
        <v>32</v>
      </c>
      <c r="D44" s="167">
        <f t="shared" si="5"/>
        <v>270.41897077959641</v>
      </c>
      <c r="E44" s="13">
        <f t="shared" si="0"/>
        <v>351.20493114907151</v>
      </c>
      <c r="F44" s="30">
        <f t="shared" si="6"/>
        <v>0.5546254581345893</v>
      </c>
      <c r="G44" s="30">
        <f t="shared" si="7"/>
        <v>0.5546254581345893</v>
      </c>
      <c r="H44" s="31">
        <f t="shared" si="1"/>
        <v>0.16397841567367766</v>
      </c>
      <c r="I44" s="32" t="str">
        <f t="shared" si="9"/>
        <v/>
      </c>
      <c r="J44" s="37">
        <f t="shared" si="2"/>
        <v>0.16397841567367766</v>
      </c>
      <c r="V44">
        <v>32</v>
      </c>
      <c r="W44">
        <v>0.14000000000000001</v>
      </c>
      <c r="X44">
        <v>0.1</v>
      </c>
    </row>
    <row r="45" spans="3:24" x14ac:dyDescent="0.15">
      <c r="C45" s="6">
        <f t="shared" si="10"/>
        <v>33</v>
      </c>
      <c r="D45" s="167">
        <f t="shared" si="5"/>
        <v>270.5268928986805</v>
      </c>
      <c r="E45" s="13">
        <f t="shared" si="0"/>
        <v>351.60853521533858</v>
      </c>
      <c r="F45" s="30">
        <f t="shared" si="6"/>
        <v>0.55444202999357883</v>
      </c>
      <c r="G45" s="30">
        <f t="shared" si="7"/>
        <v>0.55444202999357883</v>
      </c>
      <c r="H45" s="31">
        <f t="shared" si="1"/>
        <v>0.16392418401966374</v>
      </c>
      <c r="I45" s="32" t="str">
        <f t="shared" si="9"/>
        <v/>
      </c>
      <c r="J45" s="37">
        <f t="shared" si="2"/>
        <v>0.16392418401966374</v>
      </c>
      <c r="V45">
        <v>33</v>
      </c>
      <c r="W45">
        <v>0.14000000000000001</v>
      </c>
      <c r="X45">
        <v>0.1</v>
      </c>
    </row>
    <row r="46" spans="3:24" x14ac:dyDescent="0.15">
      <c r="C46" s="6">
        <f t="shared" si="10"/>
        <v>34</v>
      </c>
      <c r="D46" s="167">
        <f t="shared" si="5"/>
        <v>270.61353731896639</v>
      </c>
      <c r="E46" s="13">
        <f t="shared" si="0"/>
        <v>351.93278451044529</v>
      </c>
      <c r="F46" s="30">
        <f t="shared" si="6"/>
        <v>0.554294862990376</v>
      </c>
      <c r="G46" s="30">
        <f t="shared" si="7"/>
        <v>0.554294862990376</v>
      </c>
      <c r="H46" s="31">
        <f t="shared" si="1"/>
        <v>0.16388067319326602</v>
      </c>
      <c r="I46" s="32" t="str">
        <f t="shared" si="9"/>
        <v/>
      </c>
      <c r="J46" s="37">
        <f t="shared" si="2"/>
        <v>0.16388067319326602</v>
      </c>
      <c r="V46">
        <v>34</v>
      </c>
      <c r="W46">
        <v>0.14000000000000001</v>
      </c>
      <c r="X46">
        <v>0.1</v>
      </c>
    </row>
    <row r="47" spans="3:24" x14ac:dyDescent="0.15">
      <c r="C47" s="6">
        <f t="shared" si="10"/>
        <v>35</v>
      </c>
      <c r="D47" s="167">
        <f t="shared" si="5"/>
        <v>270.68309357513044</v>
      </c>
      <c r="E47" s="13">
        <f t="shared" si="0"/>
        <v>352.19322594878497</v>
      </c>
      <c r="F47" s="30">
        <f t="shared" si="6"/>
        <v>0.5541767828686559</v>
      </c>
      <c r="G47" s="30">
        <f t="shared" si="7"/>
        <v>0.5541767828686559</v>
      </c>
      <c r="H47" s="31">
        <f t="shared" si="1"/>
        <v>0.16384576208163523</v>
      </c>
      <c r="I47" s="32">
        <f t="shared" si="9"/>
        <v>1</v>
      </c>
      <c r="J47" s="37">
        <f t="shared" si="2"/>
        <v>0.16384576208163523</v>
      </c>
    </row>
    <row r="48" spans="3:24" x14ac:dyDescent="0.15">
      <c r="C48" s="6" t="str">
        <f t="shared" si="10"/>
        <v xml:space="preserve"> </v>
      </c>
      <c r="D48" s="167" t="str">
        <f t="shared" ref="D48:D58" si="11">IF(C48&gt;tmax," ",linf*(1-EXP(-k*(C48-t0+offset-shift))))</f>
        <v xml:space="preserve"> </v>
      </c>
      <c r="E48" s="13" t="str">
        <f t="shared" ref="E48:E58" si="12">IF(C48&gt;tmax," ",a*(D48)^b)</f>
        <v xml:space="preserve"> </v>
      </c>
      <c r="F48" s="30" t="str">
        <f t="shared" si="6"/>
        <v xml:space="preserve"> </v>
      </c>
      <c r="G48" s="30" t="str">
        <f t="shared" si="7"/>
        <v/>
      </c>
      <c r="H48" s="31" t="str">
        <f t="shared" si="1"/>
        <v/>
      </c>
      <c r="I48" s="32" t="str">
        <f t="shared" si="9"/>
        <v/>
      </c>
      <c r="J48" s="37">
        <f t="shared" si="2"/>
        <v>0.16384576208163523</v>
      </c>
      <c r="N48" s="44" t="s">
        <v>5</v>
      </c>
    </row>
    <row r="49" spans="3:10" x14ac:dyDescent="0.15">
      <c r="C49" s="6" t="str">
        <f t="shared" si="10"/>
        <v xml:space="preserve"> </v>
      </c>
      <c r="D49" s="167" t="str">
        <f t="shared" si="11"/>
        <v xml:space="preserve"> </v>
      </c>
      <c r="E49" s="13" t="str">
        <f t="shared" si="12"/>
        <v xml:space="preserve"> </v>
      </c>
      <c r="F49" s="30" t="str">
        <f t="shared" si="6"/>
        <v xml:space="preserve"> </v>
      </c>
      <c r="G49" s="30" t="str">
        <f t="shared" si="7"/>
        <v/>
      </c>
      <c r="H49" s="31" t="str">
        <f t="shared" si="1"/>
        <v/>
      </c>
      <c r="I49" s="32" t="str">
        <f t="shared" si="9"/>
        <v/>
      </c>
      <c r="J49" s="37">
        <f t="shared" si="2"/>
        <v>0.16384576208163523</v>
      </c>
    </row>
    <row r="50" spans="3:10" x14ac:dyDescent="0.15">
      <c r="C50" s="6" t="str">
        <f t="shared" si="10"/>
        <v xml:space="preserve"> </v>
      </c>
      <c r="D50" s="167" t="str">
        <f t="shared" si="11"/>
        <v xml:space="preserve"> </v>
      </c>
      <c r="E50" s="13" t="str">
        <f t="shared" si="12"/>
        <v xml:space="preserve"> </v>
      </c>
      <c r="F50" s="30" t="str">
        <f t="shared" si="6"/>
        <v xml:space="preserve"> </v>
      </c>
      <c r="G50" s="30" t="str">
        <f t="shared" si="7"/>
        <v/>
      </c>
      <c r="H50" s="31" t="str">
        <f t="shared" si="1"/>
        <v/>
      </c>
      <c r="I50" s="32" t="str">
        <f t="shared" si="9"/>
        <v/>
      </c>
      <c r="J50" s="37">
        <f t="shared" si="2"/>
        <v>0.16384576208163523</v>
      </c>
    </row>
    <row r="51" spans="3:10" x14ac:dyDescent="0.15">
      <c r="C51" s="6" t="str">
        <f t="shared" si="10"/>
        <v xml:space="preserve"> </v>
      </c>
      <c r="D51" s="167" t="str">
        <f t="shared" si="11"/>
        <v xml:space="preserve"> </v>
      </c>
      <c r="E51" s="13" t="str">
        <f t="shared" si="12"/>
        <v xml:space="preserve"> </v>
      </c>
      <c r="F51" s="30" t="str">
        <f t="shared" si="6"/>
        <v xml:space="preserve"> </v>
      </c>
      <c r="G51" s="30" t="str">
        <f t="shared" si="7"/>
        <v/>
      </c>
      <c r="H51" s="31" t="str">
        <f t="shared" si="1"/>
        <v/>
      </c>
      <c r="I51" s="32" t="str">
        <f t="shared" si="9"/>
        <v/>
      </c>
      <c r="J51" s="37">
        <f t="shared" si="2"/>
        <v>0.16384576208163523</v>
      </c>
    </row>
    <row r="52" spans="3:10" x14ac:dyDescent="0.15">
      <c r="C52" s="6" t="str">
        <f t="shared" si="10"/>
        <v xml:space="preserve"> </v>
      </c>
      <c r="D52" s="167" t="str">
        <f t="shared" si="11"/>
        <v xml:space="preserve"> </v>
      </c>
      <c r="E52" s="13" t="str">
        <f t="shared" si="12"/>
        <v xml:space="preserve"> </v>
      </c>
      <c r="F52" s="30" t="str">
        <f t="shared" si="6"/>
        <v xml:space="preserve"> </v>
      </c>
      <c r="G52" s="30" t="str">
        <f t="shared" si="7"/>
        <v/>
      </c>
      <c r="H52" s="31" t="str">
        <f t="shared" si="1"/>
        <v/>
      </c>
      <c r="I52" s="32" t="str">
        <f t="shared" si="9"/>
        <v/>
      </c>
      <c r="J52" s="37">
        <f t="shared" si="2"/>
        <v>0.16384576208163523</v>
      </c>
    </row>
    <row r="53" spans="3:10" x14ac:dyDescent="0.15">
      <c r="C53" s="6" t="str">
        <f t="shared" si="10"/>
        <v xml:space="preserve"> </v>
      </c>
      <c r="D53" s="167" t="str">
        <f t="shared" si="11"/>
        <v xml:space="preserve"> </v>
      </c>
      <c r="E53" s="13" t="str">
        <f t="shared" si="12"/>
        <v xml:space="preserve"> </v>
      </c>
      <c r="F53" s="30" t="str">
        <f t="shared" si="6"/>
        <v xml:space="preserve"> </v>
      </c>
      <c r="G53" s="30" t="str">
        <f t="shared" si="7"/>
        <v/>
      </c>
      <c r="H53" s="31" t="str">
        <f t="shared" si="1"/>
        <v/>
      </c>
      <c r="I53" s="32" t="str">
        <f t="shared" si="9"/>
        <v/>
      </c>
      <c r="J53" s="37">
        <f t="shared" si="2"/>
        <v>0.16384576208163523</v>
      </c>
    </row>
    <row r="54" spans="3:10" x14ac:dyDescent="0.15">
      <c r="C54" s="6" t="str">
        <f t="shared" si="10"/>
        <v xml:space="preserve"> </v>
      </c>
      <c r="D54" s="167" t="str">
        <f t="shared" si="11"/>
        <v xml:space="preserve"> </v>
      </c>
      <c r="E54" s="13" t="str">
        <f t="shared" si="12"/>
        <v xml:space="preserve"> </v>
      </c>
      <c r="F54" s="30" t="str">
        <f t="shared" si="6"/>
        <v xml:space="preserve"> </v>
      </c>
      <c r="G54" s="30" t="str">
        <f t="shared" si="7"/>
        <v/>
      </c>
      <c r="H54" s="31" t="str">
        <f t="shared" si="1"/>
        <v/>
      </c>
      <c r="I54" s="32" t="str">
        <f t="shared" si="9"/>
        <v/>
      </c>
      <c r="J54" s="37">
        <f t="shared" si="2"/>
        <v>0.16384576208163523</v>
      </c>
    </row>
    <row r="55" spans="3:10" x14ac:dyDescent="0.15">
      <c r="C55" s="6" t="str">
        <f t="shared" si="10"/>
        <v xml:space="preserve"> </v>
      </c>
      <c r="D55" s="167" t="str">
        <f t="shared" si="11"/>
        <v xml:space="preserve"> </v>
      </c>
      <c r="E55" s="13" t="str">
        <f t="shared" si="12"/>
        <v xml:space="preserve"> </v>
      </c>
      <c r="F55" s="30" t="str">
        <f t="shared" si="6"/>
        <v xml:space="preserve"> </v>
      </c>
      <c r="G55" s="30" t="str">
        <f t="shared" si="7"/>
        <v/>
      </c>
      <c r="H55" s="31" t="str">
        <f t="shared" si="1"/>
        <v/>
      </c>
      <c r="I55" s="32" t="str">
        <f t="shared" si="9"/>
        <v/>
      </c>
      <c r="J55" s="37">
        <f t="shared" si="2"/>
        <v>0.16384576208163523</v>
      </c>
    </row>
    <row r="56" spans="3:10" x14ac:dyDescent="0.15">
      <c r="C56" s="6" t="str">
        <f t="shared" si="10"/>
        <v xml:space="preserve"> </v>
      </c>
      <c r="D56" s="167" t="str">
        <f t="shared" si="11"/>
        <v xml:space="preserve"> </v>
      </c>
      <c r="E56" s="13" t="str">
        <f t="shared" si="12"/>
        <v xml:space="preserve"> </v>
      </c>
      <c r="F56" s="30" t="str">
        <f t="shared" si="6"/>
        <v xml:space="preserve"> </v>
      </c>
      <c r="G56" s="30" t="str">
        <f t="shared" si="7"/>
        <v/>
      </c>
      <c r="H56" s="31" t="str">
        <f t="shared" si="1"/>
        <v/>
      </c>
      <c r="I56" s="32" t="str">
        <f t="shared" si="9"/>
        <v/>
      </c>
      <c r="J56" s="37">
        <f t="shared" si="2"/>
        <v>0.16384576208163523</v>
      </c>
    </row>
    <row r="57" spans="3:10" x14ac:dyDescent="0.15">
      <c r="C57" s="6" t="str">
        <f t="shared" si="10"/>
        <v xml:space="preserve"> </v>
      </c>
      <c r="D57" s="167" t="str">
        <f t="shared" si="11"/>
        <v xml:space="preserve"> </v>
      </c>
      <c r="E57" s="13" t="str">
        <f t="shared" si="12"/>
        <v xml:space="preserve"> </v>
      </c>
      <c r="F57" s="30" t="str">
        <f t="shared" si="6"/>
        <v xml:space="preserve"> </v>
      </c>
      <c r="G57" s="30" t="str">
        <f t="shared" si="7"/>
        <v/>
      </c>
      <c r="H57" s="31" t="str">
        <f t="shared" si="1"/>
        <v/>
      </c>
      <c r="I57" s="32" t="str">
        <f t="shared" si="9"/>
        <v/>
      </c>
      <c r="J57" s="37">
        <f t="shared" si="2"/>
        <v>0.16384576208163523</v>
      </c>
    </row>
    <row r="58" spans="3:10" x14ac:dyDescent="0.15">
      <c r="C58" s="6" t="str">
        <f t="shared" si="10"/>
        <v xml:space="preserve"> </v>
      </c>
      <c r="D58" s="167" t="str">
        <f t="shared" si="11"/>
        <v xml:space="preserve"> </v>
      </c>
      <c r="E58" s="13" t="str">
        <f t="shared" si="12"/>
        <v xml:space="preserve"> </v>
      </c>
      <c r="F58" s="30" t="str">
        <f t="shared" si="6"/>
        <v xml:space="preserve"> </v>
      </c>
      <c r="G58" s="30" t="str">
        <f t="shared" si="7"/>
        <v/>
      </c>
      <c r="H58" s="31" t="str">
        <f t="shared" si="1"/>
        <v/>
      </c>
      <c r="I58" s="32" t="str">
        <f t="shared" si="9"/>
        <v/>
      </c>
      <c r="J58" s="37">
        <f t="shared" si="2"/>
        <v>0.16384576208163523</v>
      </c>
    </row>
    <row r="60" spans="3:10" ht="14.25" x14ac:dyDescent="0.2">
      <c r="F60" t="s">
        <v>100</v>
      </c>
      <c r="G60" s="38">
        <f>SUM(G12:G58)</f>
        <v>20.42227893183729</v>
      </c>
    </row>
    <row r="61" spans="3:10" ht="14.25" x14ac:dyDescent="0.2">
      <c r="F61" t="s">
        <v>101</v>
      </c>
      <c r="G61" s="38">
        <f>(tmax-full_sel_age+1)*target_M</f>
        <v>6.0379719224427637</v>
      </c>
      <c r="I61" s="39">
        <f>SUMPRODUCT(I12:I58,H12:H58)/SUM(I12:I58)</f>
        <v>0.16384576208163523</v>
      </c>
    </row>
  </sheetData>
  <phoneticPr fontId="37"/>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1"/>
  <sheetViews>
    <sheetView topLeftCell="B1" zoomScale="70" zoomScaleNormal="70" workbookViewId="0">
      <selection activeCell="I7" sqref="I7"/>
    </sheetView>
  </sheetViews>
  <sheetFormatPr defaultRowHeight="13.5" x14ac:dyDescent="0.15"/>
  <cols>
    <col min="2" max="2" width="11.375" customWidth="1"/>
    <col min="3" max="8" width="12.75" customWidth="1"/>
    <col min="9" max="9" width="16.75" customWidth="1"/>
    <col min="10" max="10" width="12.75" style="4" customWidth="1"/>
    <col min="13" max="13" width="14.125" customWidth="1"/>
    <col min="14" max="14" width="14.125" style="44" customWidth="1"/>
    <col min="15" max="15" width="17.875" customWidth="1"/>
  </cols>
  <sheetData>
    <row r="1" spans="1:24" ht="14.25" x14ac:dyDescent="0.2">
      <c r="A1" t="s">
        <v>155</v>
      </c>
      <c r="C1" s="2" t="s">
        <v>16</v>
      </c>
      <c r="D1" s="2"/>
      <c r="E1" s="2"/>
      <c r="G1" s="3" t="s">
        <v>17</v>
      </c>
      <c r="H1" s="3" t="s">
        <v>1</v>
      </c>
      <c r="I1" s="157">
        <v>3.5080100000000003E-5</v>
      </c>
      <c r="J1" s="42"/>
      <c r="K1" s="5" t="s">
        <v>18</v>
      </c>
      <c r="L1" s="6"/>
      <c r="M1" s="5">
        <v>35</v>
      </c>
      <c r="N1" s="43"/>
    </row>
    <row r="2" spans="1:24" ht="14.25" x14ac:dyDescent="0.2">
      <c r="A2" t="s">
        <v>153</v>
      </c>
      <c r="B2">
        <v>0</v>
      </c>
      <c r="C2" s="8" t="s">
        <v>19</v>
      </c>
      <c r="D2" s="8"/>
      <c r="E2" s="11">
        <v>3</v>
      </c>
      <c r="F2" s="9"/>
      <c r="G2" s="10"/>
      <c r="H2" s="3" t="s">
        <v>2</v>
      </c>
      <c r="I2" s="157">
        <v>2.8784510000000001</v>
      </c>
      <c r="K2" s="5" t="s">
        <v>20</v>
      </c>
      <c r="L2" s="6"/>
      <c r="M2" s="5">
        <v>4</v>
      </c>
      <c r="N2" s="43"/>
    </row>
    <row r="3" spans="1:24" ht="14.25" x14ac:dyDescent="0.2">
      <c r="A3" t="s">
        <v>154</v>
      </c>
      <c r="B3">
        <v>34</v>
      </c>
      <c r="C3" s="8" t="s">
        <v>21</v>
      </c>
      <c r="D3" s="8"/>
      <c r="E3" s="11">
        <v>-0.28799999999999998</v>
      </c>
      <c r="F3" s="7"/>
      <c r="G3" s="10"/>
      <c r="H3" s="3" t="s">
        <v>22</v>
      </c>
      <c r="I3" s="147">
        <v>270.60000000000002</v>
      </c>
      <c r="J3" t="s">
        <v>5</v>
      </c>
      <c r="K3" s="5" t="s">
        <v>23</v>
      </c>
      <c r="L3" s="6"/>
      <c r="M3" s="5">
        <v>35</v>
      </c>
      <c r="N3" s="43"/>
    </row>
    <row r="4" spans="1:24" ht="14.25" x14ac:dyDescent="0.2">
      <c r="A4" t="s">
        <v>151</v>
      </c>
      <c r="B4">
        <v>33</v>
      </c>
      <c r="C4" s="8" t="s">
        <v>95</v>
      </c>
      <c r="D4" t="s">
        <v>5</v>
      </c>
      <c r="F4" s="7"/>
      <c r="G4" s="10"/>
      <c r="H4" s="3" t="s">
        <v>24</v>
      </c>
      <c r="I4" s="147">
        <v>0.22</v>
      </c>
      <c r="J4" t="s">
        <v>5</v>
      </c>
      <c r="K4" s="5" t="s">
        <v>15</v>
      </c>
      <c r="L4" s="6"/>
      <c r="M4" s="5">
        <v>0.5</v>
      </c>
      <c r="N4" s="43"/>
    </row>
    <row r="5" spans="1:24" ht="14.25" x14ac:dyDescent="0.2">
      <c r="A5" t="s">
        <v>152</v>
      </c>
      <c r="B5">
        <v>270.60000000000002</v>
      </c>
      <c r="C5" s="11" t="s">
        <v>8</v>
      </c>
      <c r="D5" s="11" t="s">
        <v>140</v>
      </c>
      <c r="E5" s="12"/>
      <c r="F5" s="7"/>
      <c r="G5" s="10"/>
      <c r="H5" s="3" t="s">
        <v>7</v>
      </c>
      <c r="I5" s="147">
        <v>-0.65</v>
      </c>
      <c r="J5" t="s">
        <v>5</v>
      </c>
      <c r="K5" s="5"/>
      <c r="L5" s="6"/>
      <c r="M5" s="5"/>
      <c r="N5" s="43"/>
      <c r="O5" t="s">
        <v>5</v>
      </c>
    </row>
    <row r="6" spans="1:24" ht="14.25" x14ac:dyDescent="0.2">
      <c r="A6" t="s">
        <v>150</v>
      </c>
      <c r="B6">
        <v>-0.12</v>
      </c>
      <c r="C6" s="11" t="s">
        <v>5</v>
      </c>
      <c r="D6" s="11"/>
      <c r="E6" s="12"/>
      <c r="F6" s="7"/>
      <c r="G6" s="13"/>
      <c r="H6" s="3" t="s">
        <v>25</v>
      </c>
      <c r="I6" s="156">
        <f>120/365.25</f>
        <v>0.32854209445585214</v>
      </c>
      <c r="L6" s="15" t="s">
        <v>139</v>
      </c>
      <c r="M6" s="40">
        <v>0.24</v>
      </c>
      <c r="N6" s="14" t="s">
        <v>5</v>
      </c>
      <c r="O6" s="40" t="s">
        <v>5</v>
      </c>
      <c r="P6" t="s">
        <v>5</v>
      </c>
      <c r="Q6" t="s">
        <v>5</v>
      </c>
    </row>
    <row r="7" spans="1:24" ht="14.25" x14ac:dyDescent="0.2">
      <c r="A7" t="s">
        <v>24</v>
      </c>
      <c r="B7">
        <v>0.22</v>
      </c>
      <c r="C7" s="11" t="s">
        <v>148</v>
      </c>
      <c r="D7" s="11" t="s">
        <v>5</v>
      </c>
      <c r="E7" s="12"/>
      <c r="F7" s="7">
        <f>cum_L</f>
        <v>20.42227893183729</v>
      </c>
      <c r="G7" t="s">
        <v>5</v>
      </c>
      <c r="H7" s="155"/>
      <c r="I7" s="147"/>
      <c r="N7" s="14" t="s">
        <v>5</v>
      </c>
      <c r="O7" t="s">
        <v>5</v>
      </c>
      <c r="P7" t="s">
        <v>5</v>
      </c>
    </row>
    <row r="8" spans="1:24" ht="14.25" x14ac:dyDescent="0.2">
      <c r="A8" t="s">
        <v>160</v>
      </c>
      <c r="B8">
        <v>5.84</v>
      </c>
      <c r="C8" s="11"/>
      <c r="D8" s="11" t="s">
        <v>5</v>
      </c>
      <c r="E8" s="12"/>
      <c r="F8" s="7"/>
      <c r="K8" s="1" t="s">
        <v>26</v>
      </c>
      <c r="L8" s="1"/>
      <c r="M8" s="16">
        <f>M6</f>
        <v>0.24</v>
      </c>
    </row>
    <row r="9" spans="1:24" ht="14.25" x14ac:dyDescent="0.2">
      <c r="A9" t="s">
        <v>161</v>
      </c>
      <c r="B9">
        <v>0.06</v>
      </c>
      <c r="C9" s="17"/>
      <c r="D9" s="17"/>
      <c r="E9" s="18"/>
      <c r="F9" s="19" t="s">
        <v>8</v>
      </c>
      <c r="G9" s="20" t="s">
        <v>27</v>
      </c>
      <c r="H9" s="21"/>
      <c r="I9" s="22" t="s">
        <v>28</v>
      </c>
      <c r="J9" s="23" t="s">
        <v>29</v>
      </c>
      <c r="L9" s="82"/>
      <c r="M9" s="82"/>
      <c r="N9" s="82"/>
      <c r="O9" s="112"/>
    </row>
    <row r="10" spans="1:24" ht="14.25" x14ac:dyDescent="0.2">
      <c r="C10" s="24" t="s">
        <v>30</v>
      </c>
      <c r="D10" s="24"/>
      <c r="E10" s="25" t="s">
        <v>31</v>
      </c>
      <c r="F10" s="26" t="s">
        <v>32</v>
      </c>
      <c r="G10" s="26" t="s">
        <v>33</v>
      </c>
      <c r="H10" s="27" t="s">
        <v>34</v>
      </c>
      <c r="I10" s="28" t="s">
        <v>35</v>
      </c>
      <c r="J10" s="29" t="s">
        <v>36</v>
      </c>
      <c r="L10" s="82"/>
      <c r="M10" s="82"/>
      <c r="N10" s="103"/>
      <c r="O10" s="82"/>
    </row>
    <row r="11" spans="1:24" ht="15" thickBot="1" x14ac:dyDescent="0.25">
      <c r="C11" s="138"/>
      <c r="D11" s="138"/>
      <c r="E11" s="139"/>
      <c r="F11" s="19" t="s">
        <v>136</v>
      </c>
      <c r="G11" s="19" t="s">
        <v>138</v>
      </c>
      <c r="H11" s="140" t="s">
        <v>137</v>
      </c>
      <c r="I11" s="141"/>
      <c r="J11" s="29"/>
      <c r="L11" s="82"/>
      <c r="M11" s="82"/>
      <c r="N11" s="103"/>
      <c r="O11" s="82"/>
      <c r="W11" t="s">
        <v>156</v>
      </c>
      <c r="X11" t="s">
        <v>157</v>
      </c>
    </row>
    <row r="12" spans="1:24" x14ac:dyDescent="0.15">
      <c r="C12" s="6">
        <v>0</v>
      </c>
      <c r="D12" s="152">
        <f t="shared" ref="D12:D47" si="0">(L1_^p+(L2_^p-L1_^p)*(1-EXP(-k*((C12+offset-shift)-A1_)))/(1-EXP(-k*(A2_-A1_))))^(1/p)</f>
        <v>35.36307336354951</v>
      </c>
      <c r="E12" s="13">
        <f t="shared" ref="E12:E47" si="1">IF(C12&gt;tmax," ",a*(D12)^b)</f>
        <v>1.0057409296356601</v>
      </c>
      <c r="F12" s="30">
        <f>IF(C12&gt;tmax," ",alpha*E12^beta)</f>
        <v>2.9950580953886958</v>
      </c>
      <c r="G12" s="30" t="str">
        <f>IF(OR(C12&lt;full_sel_age,C12&gt;tmax),"",F12)</f>
        <v/>
      </c>
      <c r="H12" s="31">
        <f t="shared" ref="H12:H58" si="2">IF(C12&gt;tmax,"",F12*cum_M/cum_L)</f>
        <v>1.1263212224922736</v>
      </c>
      <c r="I12" s="32" t="str">
        <f>IF(OR(C12&lt;plus_age,C12&gt;tmax),"",IF(C12=plus_age,1,I10*EXP(-H10)))</f>
        <v/>
      </c>
      <c r="J12" s="33">
        <f t="shared" ref="J12:J58" si="3">IF(C12&lt;plus_age,H12,plus_m)</f>
        <v>1.1263212224922736</v>
      </c>
      <c r="K12" t="str">
        <f t="shared" ref="K12:K23" si="4">IF(C12&gt;=full_sel_age,J12,"")</f>
        <v/>
      </c>
      <c r="L12" s="82"/>
      <c r="M12" s="153"/>
      <c r="N12" s="153"/>
      <c r="O12" s="9"/>
      <c r="W12">
        <v>0.14000000000000001</v>
      </c>
    </row>
    <row r="13" spans="1:24" x14ac:dyDescent="0.15">
      <c r="C13" s="6">
        <f t="shared" ref="C13:C38" si="5">IF(C12&lt;tmax,C12+1," ")</f>
        <v>1</v>
      </c>
      <c r="D13" s="152">
        <f t="shared" si="0"/>
        <v>50.922390551120031</v>
      </c>
      <c r="E13" s="13">
        <f t="shared" si="1"/>
        <v>2.87285771596519</v>
      </c>
      <c r="F13" s="30">
        <f t="shared" ref="F13:F58" si="6">IF(C13&gt;tmax," ",alpha*E13^beta)</f>
        <v>2.2137409000404529</v>
      </c>
      <c r="G13" s="30" t="str">
        <f t="shared" ref="G13:G58" si="7">IF(OR(C13&lt;full_sel_age,C13&gt;tmax),"",F13)</f>
        <v/>
      </c>
      <c r="H13" s="31">
        <f t="shared" si="2"/>
        <v>0.83249916275534563</v>
      </c>
      <c r="I13" s="32" t="str">
        <f t="shared" ref="I13:I30" si="8">IF(OR(C13&lt;plus_age,C13&gt;tmax),"",IF(C13=plus_age,1,I12*EXP(-H12)))</f>
        <v/>
      </c>
      <c r="J13" s="35">
        <f t="shared" si="3"/>
        <v>0.83249916275534563</v>
      </c>
      <c r="K13" t="str">
        <f t="shared" si="4"/>
        <v/>
      </c>
      <c r="L13" s="82"/>
      <c r="M13" s="153"/>
      <c r="N13" s="153"/>
      <c r="O13" s="9"/>
      <c r="P13" t="s">
        <v>5</v>
      </c>
      <c r="Q13" t="s">
        <v>5</v>
      </c>
      <c r="V13">
        <v>1</v>
      </c>
      <c r="W13">
        <v>0.14000000000000001</v>
      </c>
      <c r="X13">
        <v>0.49</v>
      </c>
    </row>
    <row r="14" spans="1:24" x14ac:dyDescent="0.15">
      <c r="C14" s="6">
        <f t="shared" si="5"/>
        <v>2</v>
      </c>
      <c r="D14" s="152">
        <f t="shared" si="0"/>
        <v>69.05655494855786</v>
      </c>
      <c r="E14" s="13">
        <f t="shared" si="1"/>
        <v>6.9043378006352656</v>
      </c>
      <c r="F14" s="30">
        <f t="shared" si="6"/>
        <v>1.7197056165149149</v>
      </c>
      <c r="G14" s="30" t="str">
        <f t="shared" si="7"/>
        <v/>
      </c>
      <c r="H14" s="31">
        <f t="shared" si="2"/>
        <v>0.64671230761837162</v>
      </c>
      <c r="I14" s="32" t="str">
        <f t="shared" si="8"/>
        <v/>
      </c>
      <c r="J14" s="35">
        <f t="shared" si="3"/>
        <v>0.64671230761837162</v>
      </c>
      <c r="K14" t="str">
        <f t="shared" si="4"/>
        <v/>
      </c>
      <c r="L14" s="82"/>
      <c r="M14" s="153"/>
      <c r="N14" s="153"/>
      <c r="O14" s="9"/>
      <c r="P14" t="s">
        <v>5</v>
      </c>
      <c r="Q14" t="s">
        <v>5</v>
      </c>
      <c r="V14">
        <v>2</v>
      </c>
      <c r="W14">
        <v>0.14000000000000001</v>
      </c>
      <c r="X14">
        <v>0.24</v>
      </c>
    </row>
    <row r="15" spans="1:24" x14ac:dyDescent="0.15">
      <c r="C15" s="6">
        <f t="shared" si="5"/>
        <v>3</v>
      </c>
      <c r="D15" s="152">
        <f t="shared" si="0"/>
        <v>88.917611017318748</v>
      </c>
      <c r="E15" s="13">
        <f t="shared" si="1"/>
        <v>14.293107622429364</v>
      </c>
      <c r="F15" s="30">
        <f t="shared" si="6"/>
        <v>1.3945843123922674</v>
      </c>
      <c r="G15" s="30" t="str">
        <f t="shared" si="7"/>
        <v/>
      </c>
      <c r="H15" s="31">
        <f t="shared" si="2"/>
        <v>0.52444722525435861</v>
      </c>
      <c r="I15" s="32" t="str">
        <f t="shared" si="8"/>
        <v/>
      </c>
      <c r="J15" s="35">
        <f t="shared" si="3"/>
        <v>0.52444722525435861</v>
      </c>
      <c r="K15" s="101" t="str">
        <f t="shared" si="4"/>
        <v/>
      </c>
      <c r="L15" s="82"/>
      <c r="M15" s="153"/>
      <c r="N15" s="153"/>
      <c r="O15" s="9"/>
      <c r="V15">
        <v>3</v>
      </c>
      <c r="W15">
        <v>0.14000000000000001</v>
      </c>
      <c r="X15">
        <v>0.24</v>
      </c>
    </row>
    <row r="16" spans="1:24" x14ac:dyDescent="0.15">
      <c r="C16" s="6">
        <f t="shared" si="5"/>
        <v>4</v>
      </c>
      <c r="D16" s="152">
        <f t="shared" si="0"/>
        <v>109.53793064983296</v>
      </c>
      <c r="E16" s="13">
        <f t="shared" si="1"/>
        <v>26.052379138399161</v>
      </c>
      <c r="F16" s="30">
        <f t="shared" si="6"/>
        <v>1.1731598908033003</v>
      </c>
      <c r="G16" s="30">
        <f t="shared" si="7"/>
        <v>1.1731598908033003</v>
      </c>
      <c r="H16" s="31">
        <f t="shared" si="2"/>
        <v>0.4411783812884576</v>
      </c>
      <c r="I16" s="32" t="str">
        <f t="shared" si="8"/>
        <v/>
      </c>
      <c r="J16" s="35">
        <f t="shared" si="3"/>
        <v>0.4411783812884576</v>
      </c>
      <c r="K16" s="101">
        <f t="shared" si="4"/>
        <v>0.4411783812884576</v>
      </c>
      <c r="L16" s="82"/>
      <c r="M16" s="153"/>
      <c r="N16" s="153"/>
      <c r="O16" s="9"/>
      <c r="V16">
        <v>4</v>
      </c>
      <c r="W16">
        <v>0.14000000000000001</v>
      </c>
      <c r="X16">
        <v>0.24</v>
      </c>
    </row>
    <row r="17" spans="3:24" x14ac:dyDescent="0.15">
      <c r="C17" s="6">
        <f t="shared" si="5"/>
        <v>5</v>
      </c>
      <c r="D17" s="152">
        <f t="shared" si="0"/>
        <v>129.99604685270532</v>
      </c>
      <c r="E17" s="13">
        <f t="shared" si="1"/>
        <v>42.648637824632658</v>
      </c>
      <c r="F17" s="30">
        <f t="shared" si="6"/>
        <v>1.0179080930716871</v>
      </c>
      <c r="G17" s="30">
        <f t="shared" si="7"/>
        <v>1.0179080930716871</v>
      </c>
      <c r="H17" s="31">
        <f t="shared" si="2"/>
        <v>0.38279440707292561</v>
      </c>
      <c r="I17" s="32" t="str">
        <f t="shared" si="8"/>
        <v/>
      </c>
      <c r="J17" s="35">
        <f t="shared" si="3"/>
        <v>0.38279440707292561</v>
      </c>
      <c r="K17" s="101">
        <f t="shared" si="4"/>
        <v>0.38279440707292561</v>
      </c>
      <c r="L17" s="82"/>
      <c r="M17" s="153"/>
      <c r="N17" s="153"/>
      <c r="O17" s="9"/>
      <c r="V17">
        <v>5</v>
      </c>
      <c r="W17">
        <v>0.14000000000000001</v>
      </c>
      <c r="X17">
        <v>0.24</v>
      </c>
    </row>
    <row r="18" spans="3:24" x14ac:dyDescent="0.15">
      <c r="C18" s="6">
        <f t="shared" si="5"/>
        <v>6</v>
      </c>
      <c r="D18" s="152">
        <f t="shared" si="0"/>
        <v>149.53238717968014</v>
      </c>
      <c r="E18" s="13">
        <f t="shared" si="1"/>
        <v>63.816021521973767</v>
      </c>
      <c r="F18" s="30">
        <f t="shared" si="6"/>
        <v>0.90636159241921543</v>
      </c>
      <c r="G18" s="30">
        <f t="shared" si="7"/>
        <v>0.90636159241921543</v>
      </c>
      <c r="H18" s="31">
        <f t="shared" si="2"/>
        <v>0.34084624213647152</v>
      </c>
      <c r="I18" s="32" t="str">
        <f t="shared" si="8"/>
        <v/>
      </c>
      <c r="J18" s="35">
        <f t="shared" si="3"/>
        <v>0.34084624213647152</v>
      </c>
      <c r="K18" s="101">
        <f t="shared" si="4"/>
        <v>0.34084624213647152</v>
      </c>
      <c r="L18" s="82"/>
      <c r="M18" s="153"/>
      <c r="N18" s="153"/>
      <c r="O18" s="9"/>
      <c r="V18">
        <v>6</v>
      </c>
      <c r="W18">
        <v>0.14000000000000001</v>
      </c>
      <c r="X18">
        <v>0.2</v>
      </c>
    </row>
    <row r="19" spans="3:24" x14ac:dyDescent="0.15">
      <c r="C19" s="6">
        <f t="shared" si="5"/>
        <v>7</v>
      </c>
      <c r="D19" s="152">
        <f t="shared" si="0"/>
        <v>167.60322237099862</v>
      </c>
      <c r="E19" s="13">
        <f t="shared" si="1"/>
        <v>88.623442991927519</v>
      </c>
      <c r="F19" s="30">
        <f t="shared" si="6"/>
        <v>0.82456947347036669</v>
      </c>
      <c r="G19" s="30">
        <f t="shared" si="7"/>
        <v>0.82456947347036669</v>
      </c>
      <c r="H19" s="31">
        <f t="shared" si="2"/>
        <v>0.31008750675616664</v>
      </c>
      <c r="I19" s="32" t="str">
        <f t="shared" si="8"/>
        <v/>
      </c>
      <c r="J19" s="35">
        <f t="shared" si="3"/>
        <v>0.31008750675616664</v>
      </c>
      <c r="K19" s="101">
        <f t="shared" si="4"/>
        <v>0.31008750675616664</v>
      </c>
      <c r="L19" s="82"/>
      <c r="M19" s="153"/>
      <c r="N19" s="153"/>
      <c r="O19" s="9"/>
      <c r="V19">
        <v>7</v>
      </c>
      <c r="W19">
        <v>0.14000000000000001</v>
      </c>
      <c r="X19">
        <v>0.17499999999999999</v>
      </c>
    </row>
    <row r="20" spans="3:24" x14ac:dyDescent="0.15">
      <c r="C20" s="6">
        <f t="shared" si="5"/>
        <v>8</v>
      </c>
      <c r="D20" s="152">
        <f t="shared" si="0"/>
        <v>183.88290716193168</v>
      </c>
      <c r="E20" s="13">
        <f t="shared" si="1"/>
        <v>115.72632677800127</v>
      </c>
      <c r="F20" s="30">
        <f t="shared" si="6"/>
        <v>0.76357691526101967</v>
      </c>
      <c r="G20" s="30">
        <f t="shared" si="7"/>
        <v>0.76357691526101967</v>
      </c>
      <c r="H20" s="31">
        <f t="shared" si="2"/>
        <v>0.28715065193153011</v>
      </c>
      <c r="I20" s="32" t="str">
        <f t="shared" si="8"/>
        <v/>
      </c>
      <c r="J20" s="35">
        <f t="shared" si="3"/>
        <v>0.28715065193153011</v>
      </c>
      <c r="K20" s="101">
        <f t="shared" si="4"/>
        <v>0.28715065193153011</v>
      </c>
      <c r="L20" s="82"/>
      <c r="M20" s="153"/>
      <c r="N20" s="153"/>
      <c r="O20" s="9"/>
      <c r="V20">
        <v>8</v>
      </c>
      <c r="W20">
        <v>0.14000000000000001</v>
      </c>
      <c r="X20">
        <v>0.15</v>
      </c>
    </row>
    <row r="21" spans="3:24" x14ac:dyDescent="0.15">
      <c r="C21" s="6">
        <f t="shared" si="5"/>
        <v>9</v>
      </c>
      <c r="D21" s="152">
        <f t="shared" si="0"/>
        <v>198.2334947051672</v>
      </c>
      <c r="E21" s="13">
        <f t="shared" si="1"/>
        <v>143.67207460020708</v>
      </c>
      <c r="F21" s="30">
        <f t="shared" si="6"/>
        <v>0.71746053029504342</v>
      </c>
      <c r="G21" s="30">
        <f t="shared" si="7"/>
        <v>0.71746053029504342</v>
      </c>
      <c r="H21" s="31">
        <f t="shared" si="2"/>
        <v>0.26980812920324837</v>
      </c>
      <c r="I21" s="32" t="str">
        <f t="shared" si="8"/>
        <v/>
      </c>
      <c r="J21" s="35">
        <f t="shared" si="3"/>
        <v>0.26980812920324837</v>
      </c>
      <c r="K21" s="101">
        <f t="shared" si="4"/>
        <v>0.26980812920324837</v>
      </c>
      <c r="L21" s="82"/>
      <c r="M21" s="153"/>
      <c r="N21" s="153"/>
      <c r="O21" s="9"/>
      <c r="P21" s="82"/>
      <c r="V21">
        <v>9</v>
      </c>
      <c r="W21">
        <v>0.14000000000000001</v>
      </c>
      <c r="X21">
        <v>0.125</v>
      </c>
    </row>
    <row r="22" spans="3:24" x14ac:dyDescent="0.15">
      <c r="C22" s="6">
        <f t="shared" si="5"/>
        <v>10</v>
      </c>
      <c r="D22" s="152">
        <f t="shared" si="0"/>
        <v>210.66011566192304</v>
      </c>
      <c r="E22" s="13">
        <f t="shared" si="1"/>
        <v>171.15069631941589</v>
      </c>
      <c r="F22" s="30">
        <f t="shared" si="6"/>
        <v>0.68219447477151829</v>
      </c>
      <c r="G22" s="30">
        <f t="shared" si="7"/>
        <v>0.68219447477151829</v>
      </c>
      <c r="H22" s="31">
        <f t="shared" si="2"/>
        <v>0.25654598018821156</v>
      </c>
      <c r="I22" s="32" t="str">
        <f t="shared" si="8"/>
        <v/>
      </c>
      <c r="J22" s="35">
        <f t="shared" si="3"/>
        <v>0.25654598018821156</v>
      </c>
      <c r="K22" s="101">
        <f t="shared" si="4"/>
        <v>0.25654598018821156</v>
      </c>
      <c r="L22" s="82"/>
      <c r="M22" s="153"/>
      <c r="N22" s="153"/>
      <c r="O22" s="9"/>
      <c r="P22" s="82"/>
      <c r="V22">
        <v>10</v>
      </c>
      <c r="W22">
        <v>0.14000000000000001</v>
      </c>
      <c r="X22">
        <v>0.1</v>
      </c>
    </row>
    <row r="23" spans="3:24" x14ac:dyDescent="0.15">
      <c r="C23" s="6">
        <f t="shared" si="5"/>
        <v>11</v>
      </c>
      <c r="D23" s="152">
        <f t="shared" si="0"/>
        <v>221.26528627493616</v>
      </c>
      <c r="E23" s="13">
        <f t="shared" si="1"/>
        <v>197.14184188739878</v>
      </c>
      <c r="F23" s="30">
        <f t="shared" si="6"/>
        <v>0.6549753528104546</v>
      </c>
      <c r="G23" s="30">
        <f t="shared" si="7"/>
        <v>0.6549753528104546</v>
      </c>
      <c r="H23" s="31">
        <f t="shared" si="2"/>
        <v>0.24630996013586171</v>
      </c>
      <c r="I23" s="32" t="str">
        <f t="shared" si="8"/>
        <v/>
      </c>
      <c r="J23" s="35">
        <f t="shared" si="3"/>
        <v>0.24630996013586171</v>
      </c>
      <c r="K23" s="101">
        <f t="shared" si="4"/>
        <v>0.24630996013586171</v>
      </c>
      <c r="L23" s="9"/>
      <c r="M23" s="153"/>
      <c r="N23" s="153"/>
      <c r="O23" s="154"/>
      <c r="P23" s="82"/>
      <c r="V23">
        <v>11</v>
      </c>
      <c r="W23">
        <v>0.14000000000000001</v>
      </c>
      <c r="X23">
        <v>0.1</v>
      </c>
    </row>
    <row r="24" spans="3:24" x14ac:dyDescent="0.15">
      <c r="C24" s="6">
        <f t="shared" si="5"/>
        <v>12</v>
      </c>
      <c r="D24" s="152">
        <f t="shared" si="0"/>
        <v>230.20947061321465</v>
      </c>
      <c r="E24" s="13">
        <f t="shared" si="1"/>
        <v>220.96153080381706</v>
      </c>
      <c r="F24" s="30">
        <f t="shared" si="6"/>
        <v>0.6338084920408823</v>
      </c>
      <c r="G24" s="30">
        <f t="shared" si="7"/>
        <v>0.6338084920408823</v>
      </c>
      <c r="H24" s="31">
        <f t="shared" si="2"/>
        <v>0.23834995277072429</v>
      </c>
      <c r="I24" s="32" t="str">
        <f t="shared" si="8"/>
        <v/>
      </c>
      <c r="J24" s="35">
        <f t="shared" si="3"/>
        <v>0.23834995277072429</v>
      </c>
      <c r="L24" s="9"/>
      <c r="M24" s="9"/>
      <c r="N24" s="104"/>
      <c r="O24" s="9"/>
      <c r="P24" s="82"/>
      <c r="V24">
        <v>12</v>
      </c>
      <c r="W24">
        <v>0.14000000000000001</v>
      </c>
      <c r="X24">
        <v>0.1</v>
      </c>
    </row>
    <row r="25" spans="3:24" x14ac:dyDescent="0.15">
      <c r="C25" s="6">
        <f t="shared" si="5"/>
        <v>13</v>
      </c>
      <c r="D25" s="152">
        <f t="shared" si="0"/>
        <v>237.68068644881029</v>
      </c>
      <c r="E25" s="13">
        <f t="shared" si="1"/>
        <v>242.23830572135046</v>
      </c>
      <c r="F25" s="30">
        <f t="shared" si="6"/>
        <v>0.61724747565894422</v>
      </c>
      <c r="G25" s="30">
        <f t="shared" si="7"/>
        <v>0.61724747565894422</v>
      </c>
      <c r="H25" s="31">
        <f t="shared" si="2"/>
        <v>0.23212201874642677</v>
      </c>
      <c r="I25" s="32" t="str">
        <f t="shared" si="8"/>
        <v/>
      </c>
      <c r="J25" s="35">
        <f t="shared" si="3"/>
        <v>0.23212201874642677</v>
      </c>
      <c r="L25" s="9"/>
      <c r="M25" s="9"/>
      <c r="N25" s="104"/>
      <c r="O25" s="82"/>
      <c r="P25" s="82"/>
      <c r="V25">
        <v>13</v>
      </c>
      <c r="W25">
        <v>0.14000000000000001</v>
      </c>
      <c r="X25">
        <v>0.1</v>
      </c>
    </row>
    <row r="26" spans="3:24" x14ac:dyDescent="0.15">
      <c r="C26" s="6">
        <f t="shared" si="5"/>
        <v>14</v>
      </c>
      <c r="D26" s="152">
        <f t="shared" si="0"/>
        <v>243.87314265619261</v>
      </c>
      <c r="E26" s="13">
        <f t="shared" si="1"/>
        <v>260.85271012789673</v>
      </c>
      <c r="F26" s="30">
        <f t="shared" si="6"/>
        <v>0.60422597754574614</v>
      </c>
      <c r="G26" s="30">
        <f t="shared" si="7"/>
        <v>0.60422597754574614</v>
      </c>
      <c r="H26" s="31">
        <f t="shared" si="2"/>
        <v>0.22722515557835696</v>
      </c>
      <c r="I26" s="32" t="str">
        <f t="shared" si="8"/>
        <v/>
      </c>
      <c r="J26" s="35">
        <f t="shared" si="3"/>
        <v>0.22722515557835696</v>
      </c>
      <c r="L26" s="9"/>
      <c r="M26" s="9"/>
      <c r="N26" s="104"/>
      <c r="O26" s="82"/>
      <c r="P26" s="82"/>
      <c r="V26">
        <v>14</v>
      </c>
      <c r="W26">
        <v>0.14000000000000001</v>
      </c>
      <c r="X26">
        <v>0.1</v>
      </c>
    </row>
    <row r="27" spans="3:24" x14ac:dyDescent="0.15">
      <c r="C27" s="6">
        <f t="shared" si="5"/>
        <v>15</v>
      </c>
      <c r="D27" s="152">
        <f t="shared" si="0"/>
        <v>248.97353047749453</v>
      </c>
      <c r="E27" s="13">
        <f t="shared" si="1"/>
        <v>276.86645065579546</v>
      </c>
      <c r="F27" s="30">
        <f t="shared" si="6"/>
        <v>0.59394659748618184</v>
      </c>
      <c r="G27" s="30">
        <f t="shared" si="7"/>
        <v>0.59394659748618184</v>
      </c>
      <c r="H27" s="31">
        <f t="shared" si="2"/>
        <v>0.22335949302811231</v>
      </c>
      <c r="I27" s="32" t="str">
        <f t="shared" si="8"/>
        <v/>
      </c>
      <c r="J27" s="35">
        <f t="shared" si="3"/>
        <v>0.22335949302811231</v>
      </c>
      <c r="L27" s="9"/>
      <c r="M27" s="9"/>
      <c r="N27" s="104"/>
      <c r="O27" s="82"/>
      <c r="P27" s="82"/>
      <c r="V27">
        <v>15</v>
      </c>
      <c r="W27">
        <v>0.14000000000000001</v>
      </c>
      <c r="X27">
        <v>0.1</v>
      </c>
    </row>
    <row r="28" spans="3:24" x14ac:dyDescent="0.15">
      <c r="C28" s="6">
        <f t="shared" si="5"/>
        <v>16</v>
      </c>
      <c r="D28" s="152">
        <f t="shared" si="0"/>
        <v>253.15316757529988</v>
      </c>
      <c r="E28" s="13">
        <f t="shared" si="1"/>
        <v>290.45715257558874</v>
      </c>
      <c r="F28" s="30">
        <f t="shared" si="6"/>
        <v>0.5858057321415937</v>
      </c>
      <c r="G28" s="30">
        <f t="shared" si="7"/>
        <v>0.5858057321415937</v>
      </c>
      <c r="H28" s="31">
        <f t="shared" si="2"/>
        <v>0.22029804008962714</v>
      </c>
      <c r="I28" s="32" t="str">
        <f t="shared" si="8"/>
        <v/>
      </c>
      <c r="J28" s="35">
        <f t="shared" si="3"/>
        <v>0.22029804008962714</v>
      </c>
      <c r="L28" s="9"/>
      <c r="M28" s="9"/>
      <c r="N28" s="104"/>
      <c r="O28" s="82"/>
      <c r="P28" s="82"/>
      <c r="V28">
        <v>16</v>
      </c>
      <c r="W28">
        <v>0.14000000000000001</v>
      </c>
      <c r="X28">
        <v>0.1</v>
      </c>
    </row>
    <row r="29" spans="3:24" x14ac:dyDescent="0.15">
      <c r="C29" s="6">
        <f t="shared" si="5"/>
        <v>17</v>
      </c>
      <c r="D29" s="152">
        <f t="shared" si="0"/>
        <v>256.56428075813568</v>
      </c>
      <c r="E29" s="13">
        <f t="shared" si="1"/>
        <v>301.86587078366614</v>
      </c>
      <c r="F29" s="30">
        <f t="shared" si="6"/>
        <v>0.57934173906223574</v>
      </c>
      <c r="G29" s="30">
        <f t="shared" si="7"/>
        <v>0.57934173906223574</v>
      </c>
      <c r="H29" s="31">
        <f t="shared" si="2"/>
        <v>0.21786719155332215</v>
      </c>
      <c r="I29" s="32" t="str">
        <f t="shared" si="8"/>
        <v/>
      </c>
      <c r="J29" s="35">
        <f t="shared" si="3"/>
        <v>0.21786719155332215</v>
      </c>
      <c r="L29" s="9"/>
      <c r="M29" s="9"/>
      <c r="N29" s="104"/>
      <c r="O29" s="82"/>
      <c r="P29" s="82"/>
      <c r="V29">
        <v>17</v>
      </c>
      <c r="W29">
        <v>0.14000000000000001</v>
      </c>
      <c r="X29">
        <v>0.1</v>
      </c>
    </row>
    <row r="30" spans="3:24" x14ac:dyDescent="0.15">
      <c r="C30" s="6">
        <f t="shared" si="5"/>
        <v>18</v>
      </c>
      <c r="D30" s="152">
        <f t="shared" si="0"/>
        <v>259.33901586017458</v>
      </c>
      <c r="E30" s="13">
        <f t="shared" si="1"/>
        <v>311.3588207498882</v>
      </c>
      <c r="F30" s="30">
        <f t="shared" si="6"/>
        <v>0.57419847758541165</v>
      </c>
      <c r="G30" s="30">
        <f t="shared" si="7"/>
        <v>0.57419847758541165</v>
      </c>
      <c r="H30" s="31">
        <f t="shared" si="2"/>
        <v>0.21593301720021263</v>
      </c>
      <c r="I30" s="32" t="str">
        <f t="shared" si="8"/>
        <v/>
      </c>
      <c r="J30" s="35">
        <f t="shared" si="3"/>
        <v>0.21593301720021263</v>
      </c>
      <c r="L30" s="9"/>
      <c r="M30" s="9"/>
      <c r="N30" s="104"/>
      <c r="O30" s="82"/>
      <c r="P30" s="82"/>
      <c r="V30">
        <v>18</v>
      </c>
      <c r="W30">
        <v>0.14000000000000001</v>
      </c>
      <c r="X30">
        <v>0.1</v>
      </c>
    </row>
    <row r="31" spans="3:24" x14ac:dyDescent="0.15">
      <c r="C31" s="6">
        <f t="shared" si="5"/>
        <v>19</v>
      </c>
      <c r="D31" s="152">
        <f t="shared" si="0"/>
        <v>261.59011221185176</v>
      </c>
      <c r="E31" s="13">
        <f t="shared" si="1"/>
        <v>319.20180672537418</v>
      </c>
      <c r="F31" s="30">
        <f t="shared" si="6"/>
        <v>0.57009920653729851</v>
      </c>
      <c r="G31" s="30">
        <f t="shared" si="7"/>
        <v>0.57009920653729851</v>
      </c>
      <c r="H31" s="31">
        <f t="shared" si="2"/>
        <v>0.21439144577448746</v>
      </c>
      <c r="I31" s="32" t="str">
        <f t="shared" ref="I31:I58" si="9">IF(OR(C31&lt;plus_age,C31&gt;tmax),"",IF(C31=plus_age,1,I30*EXP(-H30-F)))</f>
        <v/>
      </c>
      <c r="J31" s="35">
        <f t="shared" si="3"/>
        <v>0.21439144577448746</v>
      </c>
      <c r="L31" s="9"/>
      <c r="M31" s="9"/>
      <c r="N31" s="104"/>
      <c r="O31" s="82"/>
      <c r="P31" s="82"/>
      <c r="V31">
        <v>19</v>
      </c>
      <c r="W31">
        <v>0.14000000000000001</v>
      </c>
      <c r="X31">
        <v>0.1</v>
      </c>
    </row>
    <row r="32" spans="3:24" x14ac:dyDescent="0.15">
      <c r="C32" s="6">
        <f t="shared" si="5"/>
        <v>20</v>
      </c>
      <c r="D32" s="152">
        <f t="shared" si="0"/>
        <v>263.41249326469494</v>
      </c>
      <c r="E32" s="13">
        <f t="shared" si="1"/>
        <v>325.64468920941823</v>
      </c>
      <c r="F32" s="30">
        <f t="shared" si="6"/>
        <v>0.56682759214310763</v>
      </c>
      <c r="G32" s="30">
        <f t="shared" si="7"/>
        <v>0.56682759214310763</v>
      </c>
      <c r="H32" s="31">
        <f t="shared" si="2"/>
        <v>0.21316112282026439</v>
      </c>
      <c r="I32" s="32" t="str">
        <f t="shared" si="9"/>
        <v/>
      </c>
      <c r="J32" s="35">
        <f t="shared" si="3"/>
        <v>0.21316112282026439</v>
      </c>
      <c r="L32" s="9"/>
      <c r="M32" s="9"/>
      <c r="N32" s="104"/>
      <c r="O32" s="82"/>
      <c r="P32" s="82"/>
      <c r="V32">
        <v>20</v>
      </c>
      <c r="W32">
        <v>0.14000000000000001</v>
      </c>
      <c r="X32">
        <v>0.1</v>
      </c>
    </row>
    <row r="33" spans="3:24" x14ac:dyDescent="0.15">
      <c r="C33" s="6">
        <f t="shared" si="5"/>
        <v>21</v>
      </c>
      <c r="D33" s="152">
        <f t="shared" si="0"/>
        <v>264.88527549781969</v>
      </c>
      <c r="E33" s="13">
        <f t="shared" si="1"/>
        <v>330.91314563441625</v>
      </c>
      <c r="F33" s="30">
        <f t="shared" si="6"/>
        <v>0.56421368656372672</v>
      </c>
      <c r="G33" s="30">
        <f t="shared" si="7"/>
        <v>0.56421368656372672</v>
      </c>
      <c r="H33" s="31">
        <f t="shared" si="2"/>
        <v>0.21217813777160022</v>
      </c>
      <c r="I33" s="32" t="str">
        <f t="shared" si="9"/>
        <v/>
      </c>
      <c r="J33" s="35">
        <f t="shared" si="3"/>
        <v>0.21217813777160022</v>
      </c>
      <c r="L33" s="9"/>
      <c r="M33" s="9"/>
      <c r="N33" s="104"/>
      <c r="O33" s="82"/>
      <c r="P33" s="82"/>
      <c r="V33">
        <v>21</v>
      </c>
      <c r="W33">
        <v>0.14000000000000001</v>
      </c>
      <c r="X33">
        <v>0.1</v>
      </c>
    </row>
    <row r="34" spans="3:24" x14ac:dyDescent="0.15">
      <c r="C34" s="6">
        <f t="shared" si="5"/>
        <v>22</v>
      </c>
      <c r="D34" s="152">
        <f t="shared" si="0"/>
        <v>266.073882940705</v>
      </c>
      <c r="E34" s="13">
        <f t="shared" si="1"/>
        <v>335.20536974803514</v>
      </c>
      <c r="F34" s="30">
        <f t="shared" si="6"/>
        <v>0.56212344112343482</v>
      </c>
      <c r="G34" s="30">
        <f t="shared" si="7"/>
        <v>0.56212344112343482</v>
      </c>
      <c r="H34" s="31">
        <f t="shared" si="2"/>
        <v>0.21139208029804293</v>
      </c>
      <c r="I34" s="32" t="str">
        <f t="shared" si="9"/>
        <v/>
      </c>
      <c r="J34" s="35">
        <f t="shared" si="3"/>
        <v>0.21139208029804293</v>
      </c>
      <c r="L34" s="9"/>
      <c r="M34" s="9"/>
      <c r="N34" s="104"/>
      <c r="O34" s="82"/>
      <c r="P34" s="82"/>
      <c r="V34">
        <v>22</v>
      </c>
      <c r="W34">
        <v>0.14000000000000001</v>
      </c>
      <c r="X34">
        <v>0.1</v>
      </c>
    </row>
    <row r="35" spans="3:24" x14ac:dyDescent="0.15">
      <c r="C35" s="6">
        <f t="shared" si="5"/>
        <v>23</v>
      </c>
      <c r="D35" s="152">
        <f t="shared" si="0"/>
        <v>267.03208408248298</v>
      </c>
      <c r="E35" s="13">
        <f t="shared" si="1"/>
        <v>338.69189058278442</v>
      </c>
      <c r="F35" s="30">
        <f t="shared" si="6"/>
        <v>0.5604507733963604</v>
      </c>
      <c r="G35" s="30">
        <f t="shared" si="7"/>
        <v>0.5604507733963604</v>
      </c>
      <c r="H35" s="31">
        <f t="shared" si="2"/>
        <v>0.21076305705402557</v>
      </c>
      <c r="I35" s="32" t="str">
        <f t="shared" si="9"/>
        <v/>
      </c>
      <c r="J35" s="35">
        <f t="shared" si="3"/>
        <v>0.21076305705402557</v>
      </c>
      <c r="L35" s="82"/>
      <c r="M35" s="82"/>
      <c r="N35" s="103"/>
      <c r="O35" s="82"/>
      <c r="P35" s="82"/>
      <c r="V35">
        <v>23</v>
      </c>
      <c r="W35">
        <v>0.14000000000000001</v>
      </c>
      <c r="X35">
        <v>0.1</v>
      </c>
    </row>
    <row r="36" spans="3:24" x14ac:dyDescent="0.15">
      <c r="C36" s="6">
        <f t="shared" si="5"/>
        <v>24</v>
      </c>
      <c r="D36" s="152">
        <f t="shared" si="0"/>
        <v>267.80385423457824</v>
      </c>
      <c r="E36" s="13">
        <f t="shared" si="1"/>
        <v>341.51720297748983</v>
      </c>
      <c r="F36" s="30">
        <f t="shared" si="6"/>
        <v>0.55911150667574416</v>
      </c>
      <c r="G36" s="30">
        <f t="shared" si="7"/>
        <v>0.55911150667574416</v>
      </c>
      <c r="H36" s="31">
        <f t="shared" si="2"/>
        <v>0.21025941255633451</v>
      </c>
      <c r="I36" s="32" t="str">
        <f t="shared" si="9"/>
        <v/>
      </c>
      <c r="J36" s="35">
        <f t="shared" si="3"/>
        <v>0.21025941255633451</v>
      </c>
      <c r="L36" s="82"/>
      <c r="M36" s="82"/>
      <c r="N36" s="103"/>
      <c r="O36" s="82"/>
      <c r="P36" s="82"/>
      <c r="V36">
        <v>24</v>
      </c>
      <c r="W36">
        <v>0.14000000000000001</v>
      </c>
      <c r="X36">
        <v>0.1</v>
      </c>
    </row>
    <row r="37" spans="3:24" ht="14.25" thickBot="1" x14ac:dyDescent="0.2">
      <c r="C37" s="6">
        <f t="shared" si="5"/>
        <v>25</v>
      </c>
      <c r="D37" s="152">
        <f t="shared" si="0"/>
        <v>268.42502139586395</v>
      </c>
      <c r="E37" s="13">
        <f t="shared" si="1"/>
        <v>343.80232198170785</v>
      </c>
      <c r="F37" s="30">
        <f t="shared" si="6"/>
        <v>0.55803870053400062</v>
      </c>
      <c r="G37" s="30">
        <f t="shared" si="7"/>
        <v>0.55803870053400062</v>
      </c>
      <c r="H37" s="31">
        <f t="shared" si="2"/>
        <v>0.20985597319503257</v>
      </c>
      <c r="I37" s="32" t="str">
        <f t="shared" si="9"/>
        <v/>
      </c>
      <c r="J37" s="36">
        <f t="shared" si="3"/>
        <v>0.20985597319503257</v>
      </c>
      <c r="L37" s="34" t="s">
        <v>94</v>
      </c>
      <c r="V37">
        <v>25</v>
      </c>
      <c r="W37">
        <v>0.14000000000000001</v>
      </c>
      <c r="X37">
        <v>0.1</v>
      </c>
    </row>
    <row r="38" spans="3:24" x14ac:dyDescent="0.15">
      <c r="C38" s="6">
        <f t="shared" si="5"/>
        <v>26</v>
      </c>
      <c r="D38" s="152">
        <f t="shared" si="0"/>
        <v>268.92468696407281</v>
      </c>
      <c r="E38" s="13">
        <f t="shared" si="1"/>
        <v>345.64769054786802</v>
      </c>
      <c r="F38" s="30">
        <f t="shared" si="6"/>
        <v>0.5571790272348125</v>
      </c>
      <c r="G38" s="30">
        <f t="shared" si="7"/>
        <v>0.5571790272348125</v>
      </c>
      <c r="H38" s="31">
        <f t="shared" si="2"/>
        <v>0.2095326845473845</v>
      </c>
      <c r="I38" s="32" t="str">
        <f t="shared" si="9"/>
        <v/>
      </c>
      <c r="J38" s="37">
        <f t="shared" si="3"/>
        <v>0.2095326845473845</v>
      </c>
      <c r="L38" s="102">
        <f>AVERAGE(J16:J47)</f>
        <v>0.24000000000000002</v>
      </c>
      <c r="V38">
        <v>26</v>
      </c>
      <c r="W38">
        <v>0.14000000000000001</v>
      </c>
      <c r="X38">
        <v>0.1</v>
      </c>
    </row>
    <row r="39" spans="3:24" x14ac:dyDescent="0.15">
      <c r="C39" s="6">
        <f>IF(C38&lt;tmax,C38+1,"")</f>
        <v>27</v>
      </c>
      <c r="D39" s="152">
        <f t="shared" si="0"/>
        <v>269.3264314868332</v>
      </c>
      <c r="E39" s="13">
        <f t="shared" si="1"/>
        <v>347.13609510631477</v>
      </c>
      <c r="F39" s="30">
        <f t="shared" si="6"/>
        <v>0.55648994271053187</v>
      </c>
      <c r="G39" s="30">
        <f t="shared" si="7"/>
        <v>0.55648994271053187</v>
      </c>
      <c r="H39" s="31">
        <f t="shared" si="2"/>
        <v>0.20927354749592522</v>
      </c>
      <c r="I39" s="32" t="str">
        <f t="shared" si="9"/>
        <v/>
      </c>
      <c r="J39" s="37">
        <f t="shared" si="3"/>
        <v>0.20927354749592522</v>
      </c>
      <c r="V39">
        <v>27</v>
      </c>
      <c r="W39">
        <v>0.14000000000000001</v>
      </c>
      <c r="X39">
        <v>0.1</v>
      </c>
    </row>
    <row r="40" spans="3:24" x14ac:dyDescent="0.15">
      <c r="C40" s="6">
        <f t="shared" ref="C40:C58" si="10">IF(C39&lt;tmax,C39+1," ")</f>
        <v>28</v>
      </c>
      <c r="D40" s="152">
        <f t="shared" si="0"/>
        <v>269.64932522084746</v>
      </c>
      <c r="E40" s="13">
        <f t="shared" si="1"/>
        <v>348.33539606470401</v>
      </c>
      <c r="F40" s="30">
        <f t="shared" si="6"/>
        <v>0.55593746671614386</v>
      </c>
      <c r="G40" s="30">
        <f t="shared" si="7"/>
        <v>0.55593746671614386</v>
      </c>
      <c r="H40" s="31">
        <f t="shared" si="2"/>
        <v>0.2090657834334001</v>
      </c>
      <c r="I40" s="32" t="str">
        <f t="shared" si="9"/>
        <v/>
      </c>
      <c r="J40" s="37">
        <f t="shared" si="3"/>
        <v>0.2090657834334001</v>
      </c>
      <c r="V40">
        <v>28</v>
      </c>
      <c r="W40">
        <v>0.14000000000000001</v>
      </c>
      <c r="X40">
        <v>0.1</v>
      </c>
    </row>
    <row r="41" spans="3:24" x14ac:dyDescent="0.15">
      <c r="C41" s="6">
        <f t="shared" si="10"/>
        <v>29</v>
      </c>
      <c r="D41" s="152">
        <f t="shared" si="0"/>
        <v>269.90876711736149</v>
      </c>
      <c r="E41" s="13">
        <f t="shared" si="1"/>
        <v>349.30097907072616</v>
      </c>
      <c r="F41" s="30">
        <f t="shared" si="6"/>
        <v>0.55549443369556117</v>
      </c>
      <c r="G41" s="30">
        <f t="shared" si="7"/>
        <v>0.55549443369556117</v>
      </c>
      <c r="H41" s="31">
        <f t="shared" si="2"/>
        <v>0.20889917648373346</v>
      </c>
      <c r="I41" s="32" t="str">
        <f t="shared" si="9"/>
        <v/>
      </c>
      <c r="J41" s="37">
        <f t="shared" si="3"/>
        <v>0.20889917648373346</v>
      </c>
      <c r="V41">
        <v>29</v>
      </c>
      <c r="W41">
        <v>0.14000000000000001</v>
      </c>
      <c r="X41">
        <v>0.1</v>
      </c>
    </row>
    <row r="42" spans="3:24" x14ac:dyDescent="0.15">
      <c r="C42" s="6">
        <f t="shared" si="10"/>
        <v>30</v>
      </c>
      <c r="D42" s="152">
        <f t="shared" si="0"/>
        <v>270.11717633436456</v>
      </c>
      <c r="E42" s="13">
        <f t="shared" si="1"/>
        <v>350.07789404183228</v>
      </c>
      <c r="F42" s="30">
        <f t="shared" si="6"/>
        <v>0.5551391097966375</v>
      </c>
      <c r="G42" s="30">
        <f t="shared" si="7"/>
        <v>0.5551391097966375</v>
      </c>
      <c r="H42" s="31">
        <f t="shared" si="2"/>
        <v>0.2087655534168445</v>
      </c>
      <c r="I42" s="32" t="str">
        <f t="shared" si="9"/>
        <v/>
      </c>
      <c r="J42" s="37">
        <f t="shared" si="3"/>
        <v>0.2087655534168445</v>
      </c>
      <c r="V42">
        <v>30</v>
      </c>
      <c r="W42">
        <v>0.14000000000000001</v>
      </c>
      <c r="X42">
        <v>0.1</v>
      </c>
    </row>
    <row r="43" spans="3:24" x14ac:dyDescent="0.15">
      <c r="C43" s="6">
        <f t="shared" si="10"/>
        <v>31</v>
      </c>
      <c r="D43" s="152">
        <f t="shared" si="0"/>
        <v>270.28455901120424</v>
      </c>
      <c r="E43" s="13">
        <f t="shared" si="1"/>
        <v>350.70268476289158</v>
      </c>
      <c r="F43" s="30">
        <f t="shared" si="6"/>
        <v>0.55485409629913518</v>
      </c>
      <c r="G43" s="30">
        <f t="shared" si="7"/>
        <v>0.55485409629913518</v>
      </c>
      <c r="H43" s="31">
        <f t="shared" si="2"/>
        <v>0.20865837127188785</v>
      </c>
      <c r="I43" s="32" t="str">
        <f t="shared" si="9"/>
        <v/>
      </c>
      <c r="J43" s="37">
        <f t="shared" si="3"/>
        <v>0.20865837127188785</v>
      </c>
      <c r="V43">
        <v>31</v>
      </c>
      <c r="W43">
        <v>0.14000000000000001</v>
      </c>
      <c r="X43">
        <v>0.1</v>
      </c>
    </row>
    <row r="44" spans="3:24" x14ac:dyDescent="0.15">
      <c r="C44" s="6">
        <f t="shared" si="10"/>
        <v>32</v>
      </c>
      <c r="D44" s="152">
        <f t="shared" si="0"/>
        <v>270.41897077959641</v>
      </c>
      <c r="E44" s="13">
        <f t="shared" si="1"/>
        <v>351.20493114907151</v>
      </c>
      <c r="F44" s="30">
        <f t="shared" si="6"/>
        <v>0.5546254581345893</v>
      </c>
      <c r="G44" s="30">
        <f t="shared" si="7"/>
        <v>0.5546254581345893</v>
      </c>
      <c r="H44" s="31">
        <f t="shared" si="2"/>
        <v>0.208572389628528</v>
      </c>
      <c r="I44" s="32" t="str">
        <f t="shared" si="9"/>
        <v/>
      </c>
      <c r="J44" s="37">
        <f t="shared" si="3"/>
        <v>0.208572389628528</v>
      </c>
      <c r="V44">
        <v>32</v>
      </c>
      <c r="W44">
        <v>0.14000000000000001</v>
      </c>
      <c r="X44">
        <v>0.1</v>
      </c>
    </row>
    <row r="45" spans="3:24" x14ac:dyDescent="0.15">
      <c r="C45" s="6">
        <f t="shared" si="10"/>
        <v>33</v>
      </c>
      <c r="D45" s="152">
        <f t="shared" si="0"/>
        <v>270.5268928986805</v>
      </c>
      <c r="E45" s="13">
        <f t="shared" si="1"/>
        <v>351.60853521533858</v>
      </c>
      <c r="F45" s="30">
        <f t="shared" si="6"/>
        <v>0.55444202999357883</v>
      </c>
      <c r="G45" s="30">
        <f t="shared" si="7"/>
        <v>0.55444202999357883</v>
      </c>
      <c r="H45" s="31">
        <f t="shared" si="2"/>
        <v>0.20850340966171516</v>
      </c>
      <c r="I45" s="32" t="str">
        <f t="shared" si="9"/>
        <v/>
      </c>
      <c r="J45" s="37">
        <f t="shared" si="3"/>
        <v>0.20850340966171516</v>
      </c>
      <c r="V45">
        <v>33</v>
      </c>
      <c r="W45">
        <v>0.14000000000000001</v>
      </c>
      <c r="X45">
        <v>0.1</v>
      </c>
    </row>
    <row r="46" spans="3:24" x14ac:dyDescent="0.15">
      <c r="C46" s="6">
        <f t="shared" si="10"/>
        <v>34</v>
      </c>
      <c r="D46" s="152">
        <f t="shared" si="0"/>
        <v>270.61353731896639</v>
      </c>
      <c r="E46" s="13">
        <f t="shared" si="1"/>
        <v>351.93278451044529</v>
      </c>
      <c r="F46" s="30">
        <f t="shared" si="6"/>
        <v>0.554294862990376</v>
      </c>
      <c r="G46" s="30">
        <f t="shared" si="7"/>
        <v>0.554294862990376</v>
      </c>
      <c r="H46" s="31">
        <f t="shared" si="2"/>
        <v>0.20844806605445321</v>
      </c>
      <c r="I46" s="32" t="str">
        <f t="shared" si="9"/>
        <v/>
      </c>
      <c r="J46" s="37">
        <f t="shared" si="3"/>
        <v>0.20844806605445321</v>
      </c>
      <c r="V46">
        <v>34</v>
      </c>
      <c r="W46">
        <v>0.14000000000000001</v>
      </c>
      <c r="X46">
        <v>0.1</v>
      </c>
    </row>
    <row r="47" spans="3:24" x14ac:dyDescent="0.15">
      <c r="C47" s="6">
        <f t="shared" si="10"/>
        <v>35</v>
      </c>
      <c r="D47" s="152">
        <f t="shared" si="0"/>
        <v>270.68309357513044</v>
      </c>
      <c r="E47" s="13">
        <f t="shared" si="1"/>
        <v>352.19322594878497</v>
      </c>
      <c r="F47" s="30">
        <f t="shared" si="6"/>
        <v>0.5541767828686559</v>
      </c>
      <c r="G47" s="30">
        <f t="shared" si="7"/>
        <v>0.5541767828686559</v>
      </c>
      <c r="H47" s="31">
        <f t="shared" si="2"/>
        <v>0.20840366085668671</v>
      </c>
      <c r="I47" s="32">
        <f t="shared" si="9"/>
        <v>1</v>
      </c>
      <c r="J47" s="37">
        <f t="shared" si="3"/>
        <v>0.20840366085668671</v>
      </c>
    </row>
    <row r="48" spans="3:24" x14ac:dyDescent="0.15">
      <c r="C48" s="6" t="str">
        <f t="shared" si="10"/>
        <v xml:space="preserve"> </v>
      </c>
      <c r="D48" s="41" t="str">
        <f t="shared" ref="D48:D58" si="11">IF(C48&gt;tmax," ",linf*(1-EXP(-k*(C48-t0+offset-shift))))</f>
        <v xml:space="preserve"> </v>
      </c>
      <c r="E48" s="13" t="str">
        <f t="shared" ref="E48:E58" si="12">IF(C48&gt;tmax," ",a*(D48)^b)</f>
        <v xml:space="preserve"> </v>
      </c>
      <c r="F48" s="30" t="str">
        <f t="shared" si="6"/>
        <v xml:space="preserve"> </v>
      </c>
      <c r="G48" s="30" t="str">
        <f t="shared" si="7"/>
        <v/>
      </c>
      <c r="H48" s="31" t="str">
        <f t="shared" si="2"/>
        <v/>
      </c>
      <c r="I48" s="32" t="str">
        <f t="shared" si="9"/>
        <v/>
      </c>
      <c r="J48" s="37">
        <f t="shared" si="3"/>
        <v>0.20840366085668671</v>
      </c>
      <c r="N48" s="44" t="s">
        <v>5</v>
      </c>
    </row>
    <row r="49" spans="3:10" x14ac:dyDescent="0.15">
      <c r="C49" s="6" t="str">
        <f t="shared" si="10"/>
        <v xml:space="preserve"> </v>
      </c>
      <c r="D49" s="41" t="str">
        <f t="shared" si="11"/>
        <v xml:space="preserve"> </v>
      </c>
      <c r="E49" s="13" t="str">
        <f t="shared" si="12"/>
        <v xml:space="preserve"> </v>
      </c>
      <c r="F49" s="30" t="str">
        <f t="shared" si="6"/>
        <v xml:space="preserve"> </v>
      </c>
      <c r="G49" s="30" t="str">
        <f t="shared" si="7"/>
        <v/>
      </c>
      <c r="H49" s="31" t="str">
        <f t="shared" si="2"/>
        <v/>
      </c>
      <c r="I49" s="32" t="str">
        <f t="shared" si="9"/>
        <v/>
      </c>
      <c r="J49" s="37">
        <f t="shared" si="3"/>
        <v>0.20840366085668671</v>
      </c>
    </row>
    <row r="50" spans="3:10" x14ac:dyDescent="0.15">
      <c r="C50" s="6" t="str">
        <f t="shared" si="10"/>
        <v xml:space="preserve"> </v>
      </c>
      <c r="D50" s="41" t="str">
        <f t="shared" si="11"/>
        <v xml:space="preserve"> </v>
      </c>
      <c r="E50" s="13" t="str">
        <f t="shared" si="12"/>
        <v xml:space="preserve"> </v>
      </c>
      <c r="F50" s="30" t="str">
        <f t="shared" si="6"/>
        <v xml:space="preserve"> </v>
      </c>
      <c r="G50" s="30" t="str">
        <f t="shared" si="7"/>
        <v/>
      </c>
      <c r="H50" s="31" t="str">
        <f t="shared" si="2"/>
        <v/>
      </c>
      <c r="I50" s="32" t="str">
        <f t="shared" si="9"/>
        <v/>
      </c>
      <c r="J50" s="37">
        <f t="shared" si="3"/>
        <v>0.20840366085668671</v>
      </c>
    </row>
    <row r="51" spans="3:10" x14ac:dyDescent="0.15">
      <c r="C51" s="6" t="str">
        <f t="shared" si="10"/>
        <v xml:space="preserve"> </v>
      </c>
      <c r="D51" s="41" t="str">
        <f t="shared" si="11"/>
        <v xml:space="preserve"> </v>
      </c>
      <c r="E51" s="13" t="str">
        <f t="shared" si="12"/>
        <v xml:space="preserve"> </v>
      </c>
      <c r="F51" s="30" t="str">
        <f t="shared" si="6"/>
        <v xml:space="preserve"> </v>
      </c>
      <c r="G51" s="30" t="str">
        <f t="shared" si="7"/>
        <v/>
      </c>
      <c r="H51" s="31" t="str">
        <f t="shared" si="2"/>
        <v/>
      </c>
      <c r="I51" s="32" t="str">
        <f t="shared" si="9"/>
        <v/>
      </c>
      <c r="J51" s="37">
        <f t="shared" si="3"/>
        <v>0.20840366085668671</v>
      </c>
    </row>
    <row r="52" spans="3:10" x14ac:dyDescent="0.15">
      <c r="C52" s="6" t="str">
        <f t="shared" si="10"/>
        <v xml:space="preserve"> </v>
      </c>
      <c r="D52" s="41" t="str">
        <f t="shared" si="11"/>
        <v xml:space="preserve"> </v>
      </c>
      <c r="E52" s="13" t="str">
        <f t="shared" si="12"/>
        <v xml:space="preserve"> </v>
      </c>
      <c r="F52" s="30" t="str">
        <f t="shared" si="6"/>
        <v xml:space="preserve"> </v>
      </c>
      <c r="G52" s="30" t="str">
        <f t="shared" si="7"/>
        <v/>
      </c>
      <c r="H52" s="31" t="str">
        <f t="shared" si="2"/>
        <v/>
      </c>
      <c r="I52" s="32" t="str">
        <f t="shared" si="9"/>
        <v/>
      </c>
      <c r="J52" s="37">
        <f t="shared" si="3"/>
        <v>0.20840366085668671</v>
      </c>
    </row>
    <row r="53" spans="3:10" x14ac:dyDescent="0.15">
      <c r="C53" s="6" t="str">
        <f t="shared" si="10"/>
        <v xml:space="preserve"> </v>
      </c>
      <c r="D53" s="41" t="str">
        <f t="shared" si="11"/>
        <v xml:space="preserve"> </v>
      </c>
      <c r="E53" s="13" t="str">
        <f t="shared" si="12"/>
        <v xml:space="preserve"> </v>
      </c>
      <c r="F53" s="30" t="str">
        <f t="shared" si="6"/>
        <v xml:space="preserve"> </v>
      </c>
      <c r="G53" s="30" t="str">
        <f t="shared" si="7"/>
        <v/>
      </c>
      <c r="H53" s="31" t="str">
        <f t="shared" si="2"/>
        <v/>
      </c>
      <c r="I53" s="32" t="str">
        <f t="shared" si="9"/>
        <v/>
      </c>
      <c r="J53" s="37">
        <f t="shared" si="3"/>
        <v>0.20840366085668671</v>
      </c>
    </row>
    <row r="54" spans="3:10" x14ac:dyDescent="0.15">
      <c r="C54" s="6" t="str">
        <f t="shared" si="10"/>
        <v xml:space="preserve"> </v>
      </c>
      <c r="D54" s="41" t="str">
        <f t="shared" si="11"/>
        <v xml:space="preserve"> </v>
      </c>
      <c r="E54" s="13" t="str">
        <f t="shared" si="12"/>
        <v xml:space="preserve"> </v>
      </c>
      <c r="F54" s="30" t="str">
        <f t="shared" si="6"/>
        <v xml:space="preserve"> </v>
      </c>
      <c r="G54" s="30" t="str">
        <f t="shared" si="7"/>
        <v/>
      </c>
      <c r="H54" s="31" t="str">
        <f t="shared" si="2"/>
        <v/>
      </c>
      <c r="I54" s="32" t="str">
        <f t="shared" si="9"/>
        <v/>
      </c>
      <c r="J54" s="37">
        <f t="shared" si="3"/>
        <v>0.20840366085668671</v>
      </c>
    </row>
    <row r="55" spans="3:10" x14ac:dyDescent="0.15">
      <c r="C55" s="6" t="str">
        <f t="shared" si="10"/>
        <v xml:space="preserve"> </v>
      </c>
      <c r="D55" s="41" t="str">
        <f t="shared" si="11"/>
        <v xml:space="preserve"> </v>
      </c>
      <c r="E55" s="13" t="str">
        <f t="shared" si="12"/>
        <v xml:space="preserve"> </v>
      </c>
      <c r="F55" s="30" t="str">
        <f t="shared" si="6"/>
        <v xml:space="preserve"> </v>
      </c>
      <c r="G55" s="30" t="str">
        <f t="shared" si="7"/>
        <v/>
      </c>
      <c r="H55" s="31" t="str">
        <f t="shared" si="2"/>
        <v/>
      </c>
      <c r="I55" s="32" t="str">
        <f t="shared" si="9"/>
        <v/>
      </c>
      <c r="J55" s="37">
        <f t="shared" si="3"/>
        <v>0.20840366085668671</v>
      </c>
    </row>
    <row r="56" spans="3:10" x14ac:dyDescent="0.15">
      <c r="C56" s="6" t="str">
        <f t="shared" si="10"/>
        <v xml:space="preserve"> </v>
      </c>
      <c r="D56" s="41" t="str">
        <f t="shared" si="11"/>
        <v xml:space="preserve"> </v>
      </c>
      <c r="E56" s="13" t="str">
        <f t="shared" si="12"/>
        <v xml:space="preserve"> </v>
      </c>
      <c r="F56" s="30" t="str">
        <f t="shared" si="6"/>
        <v xml:space="preserve"> </v>
      </c>
      <c r="G56" s="30" t="str">
        <f t="shared" si="7"/>
        <v/>
      </c>
      <c r="H56" s="31" t="str">
        <f t="shared" si="2"/>
        <v/>
      </c>
      <c r="I56" s="32" t="str">
        <f t="shared" si="9"/>
        <v/>
      </c>
      <c r="J56" s="37">
        <f t="shared" si="3"/>
        <v>0.20840366085668671</v>
      </c>
    </row>
    <row r="57" spans="3:10" x14ac:dyDescent="0.15">
      <c r="C57" s="6" t="str">
        <f t="shared" si="10"/>
        <v xml:space="preserve"> </v>
      </c>
      <c r="D57" s="41" t="str">
        <f t="shared" si="11"/>
        <v xml:space="preserve"> </v>
      </c>
      <c r="E57" s="13" t="str">
        <f t="shared" si="12"/>
        <v xml:space="preserve"> </v>
      </c>
      <c r="F57" s="30" t="str">
        <f t="shared" si="6"/>
        <v xml:space="preserve"> </v>
      </c>
      <c r="G57" s="30" t="str">
        <f t="shared" si="7"/>
        <v/>
      </c>
      <c r="H57" s="31" t="str">
        <f t="shared" si="2"/>
        <v/>
      </c>
      <c r="I57" s="32" t="str">
        <f t="shared" si="9"/>
        <v/>
      </c>
      <c r="J57" s="37">
        <f t="shared" si="3"/>
        <v>0.20840366085668671</v>
      </c>
    </row>
    <row r="58" spans="3:10" x14ac:dyDescent="0.15">
      <c r="C58" s="6" t="str">
        <f t="shared" si="10"/>
        <v xml:space="preserve"> </v>
      </c>
      <c r="D58" s="41" t="str">
        <f t="shared" si="11"/>
        <v xml:space="preserve"> </v>
      </c>
      <c r="E58" s="13" t="str">
        <f t="shared" si="12"/>
        <v xml:space="preserve"> </v>
      </c>
      <c r="F58" s="30" t="str">
        <f t="shared" si="6"/>
        <v xml:space="preserve"> </v>
      </c>
      <c r="G58" s="30" t="str">
        <f t="shared" si="7"/>
        <v/>
      </c>
      <c r="H58" s="31" t="str">
        <f t="shared" si="2"/>
        <v/>
      </c>
      <c r="I58" s="32" t="str">
        <f t="shared" si="9"/>
        <v/>
      </c>
      <c r="J58" s="37">
        <f t="shared" si="3"/>
        <v>0.20840366085668671</v>
      </c>
    </row>
    <row r="60" spans="3:10" ht="14.25" x14ac:dyDescent="0.2">
      <c r="F60" t="s">
        <v>100</v>
      </c>
      <c r="G60" s="38">
        <f>SUM(G12:G58)</f>
        <v>20.42227893183729</v>
      </c>
    </row>
    <row r="61" spans="3:10" ht="14.25" x14ac:dyDescent="0.2">
      <c r="F61" t="s">
        <v>101</v>
      </c>
      <c r="G61" s="38">
        <f>(tmax-full_sel_age+1)*target_M</f>
        <v>7.68</v>
      </c>
      <c r="I61" s="39">
        <f>SUMPRODUCT(I12:I58,H12:H58)/SUM(I12:I58)</f>
        <v>0.20840366085668671</v>
      </c>
    </row>
  </sheetData>
  <phoneticPr fontId="37"/>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1"/>
  <sheetViews>
    <sheetView topLeftCell="E1" zoomScale="70" zoomScaleNormal="70" workbookViewId="0">
      <selection activeCell="M13" sqref="M13"/>
    </sheetView>
  </sheetViews>
  <sheetFormatPr defaultRowHeight="13.5" x14ac:dyDescent="0.15"/>
  <cols>
    <col min="2" max="2" width="11.375" customWidth="1"/>
    <col min="3" max="8" width="12.75" customWidth="1"/>
    <col min="9" max="9" width="16.75" customWidth="1"/>
    <col min="10" max="10" width="12.75" style="4" customWidth="1"/>
    <col min="13" max="13" width="14.125" customWidth="1"/>
    <col min="14" max="14" width="14.125" style="44" customWidth="1"/>
    <col min="15" max="15" width="17.875" customWidth="1"/>
  </cols>
  <sheetData>
    <row r="1" spans="1:24" ht="14.25" x14ac:dyDescent="0.2">
      <c r="A1" t="s">
        <v>155</v>
      </c>
      <c r="C1" s="2" t="s">
        <v>16</v>
      </c>
      <c r="D1" s="2"/>
      <c r="E1" s="2"/>
      <c r="G1" s="3" t="s">
        <v>17</v>
      </c>
      <c r="H1" s="3" t="s">
        <v>1</v>
      </c>
      <c r="I1" s="157">
        <v>3.5080100000000003E-5</v>
      </c>
      <c r="J1" s="42"/>
      <c r="K1" s="5" t="s">
        <v>18</v>
      </c>
      <c r="L1" s="6"/>
      <c r="M1" s="5">
        <v>35</v>
      </c>
      <c r="N1" s="43"/>
    </row>
    <row r="2" spans="1:24" ht="14.25" x14ac:dyDescent="0.2">
      <c r="A2" t="s">
        <v>153</v>
      </c>
      <c r="B2">
        <v>0</v>
      </c>
      <c r="C2" s="8" t="s">
        <v>19</v>
      </c>
      <c r="D2" s="8"/>
      <c r="E2" s="11">
        <v>3</v>
      </c>
      <c r="F2" s="9"/>
      <c r="G2" s="10"/>
      <c r="H2" s="3" t="s">
        <v>2</v>
      </c>
      <c r="I2" s="157">
        <v>2.8784510000000001</v>
      </c>
      <c r="K2" s="5" t="s">
        <v>20</v>
      </c>
      <c r="L2" s="6"/>
      <c r="M2" s="5">
        <v>4</v>
      </c>
      <c r="N2" s="43"/>
    </row>
    <row r="3" spans="1:24" ht="14.25" x14ac:dyDescent="0.2">
      <c r="A3" t="s">
        <v>154</v>
      </c>
      <c r="B3">
        <v>34</v>
      </c>
      <c r="C3" s="8" t="s">
        <v>21</v>
      </c>
      <c r="D3" s="8"/>
      <c r="E3" s="11">
        <v>-0.28799999999999998</v>
      </c>
      <c r="F3" s="7"/>
      <c r="G3" s="10"/>
      <c r="H3" s="3" t="s">
        <v>22</v>
      </c>
      <c r="I3" s="147">
        <v>270.60000000000002</v>
      </c>
      <c r="J3" t="s">
        <v>5</v>
      </c>
      <c r="K3" s="5" t="s">
        <v>23</v>
      </c>
      <c r="L3" s="6"/>
      <c r="M3" s="5">
        <v>35</v>
      </c>
      <c r="N3" s="43"/>
    </row>
    <row r="4" spans="1:24" ht="14.25" x14ac:dyDescent="0.2">
      <c r="A4" t="s">
        <v>151</v>
      </c>
      <c r="B4">
        <v>33</v>
      </c>
      <c r="C4" s="8" t="s">
        <v>95</v>
      </c>
      <c r="D4" t="s">
        <v>5</v>
      </c>
      <c r="F4" s="7"/>
      <c r="G4" s="10"/>
      <c r="H4" s="3" t="s">
        <v>24</v>
      </c>
      <c r="I4" s="147">
        <v>0.22</v>
      </c>
      <c r="J4" t="s">
        <v>5</v>
      </c>
      <c r="K4" s="5" t="s">
        <v>15</v>
      </c>
      <c r="L4" s="6"/>
      <c r="M4" s="5">
        <v>0.5</v>
      </c>
      <c r="N4" s="43"/>
    </row>
    <row r="5" spans="1:24" ht="14.25" x14ac:dyDescent="0.2">
      <c r="A5" t="s">
        <v>152</v>
      </c>
      <c r="B5">
        <v>270.60000000000002</v>
      </c>
      <c r="C5" s="11" t="s">
        <v>8</v>
      </c>
      <c r="D5" s="11" t="s">
        <v>140</v>
      </c>
      <c r="E5" s="12"/>
      <c r="F5" s="7"/>
      <c r="G5" s="10"/>
      <c r="H5" s="3" t="s">
        <v>7</v>
      </c>
      <c r="I5" s="147">
        <v>-0.65</v>
      </c>
      <c r="J5" t="s">
        <v>5</v>
      </c>
      <c r="K5" s="5"/>
      <c r="L5" s="6"/>
      <c r="M5" s="5"/>
      <c r="N5" s="43"/>
      <c r="O5" t="s">
        <v>5</v>
      </c>
    </row>
    <row r="6" spans="1:24" ht="14.25" x14ac:dyDescent="0.2">
      <c r="A6" t="s">
        <v>150</v>
      </c>
      <c r="B6">
        <v>-0.12</v>
      </c>
      <c r="C6" s="11" t="s">
        <v>5</v>
      </c>
      <c r="D6" s="11"/>
      <c r="E6" s="12"/>
      <c r="F6" s="7"/>
      <c r="G6" s="13"/>
      <c r="H6" s="3" t="s">
        <v>25</v>
      </c>
      <c r="I6" s="156">
        <f>120/365.25</f>
        <v>0.32854209445585214</v>
      </c>
      <c r="L6" s="15" t="s">
        <v>139</v>
      </c>
      <c r="M6" s="40">
        <v>0.14000000000000001</v>
      </c>
      <c r="N6" s="14" t="s">
        <v>37</v>
      </c>
      <c r="O6" s="40">
        <f>4.899*tmax^-0.916</f>
        <v>0.18868662257633637</v>
      </c>
      <c r="P6" t="s">
        <v>5</v>
      </c>
      <c r="Q6" t="s">
        <v>5</v>
      </c>
    </row>
    <row r="7" spans="1:24" ht="14.25" x14ac:dyDescent="0.2">
      <c r="A7" t="s">
        <v>24</v>
      </c>
      <c r="B7">
        <v>0.22</v>
      </c>
      <c r="C7" s="11" t="s">
        <v>148</v>
      </c>
      <c r="D7" s="11" t="s">
        <v>5</v>
      </c>
      <c r="E7" s="12"/>
      <c r="F7" s="7">
        <f>cum_L</f>
        <v>20.42227893183729</v>
      </c>
      <c r="G7" t="s">
        <v>5</v>
      </c>
      <c r="H7" s="155"/>
      <c r="I7" s="147"/>
      <c r="N7" s="14" t="s">
        <v>5</v>
      </c>
      <c r="O7" t="s">
        <v>158</v>
      </c>
      <c r="P7">
        <f>EXP(1.46+-1.01*LN(tmax))</f>
        <v>0.11873020530810875</v>
      </c>
    </row>
    <row r="8" spans="1:24" ht="14.25" x14ac:dyDescent="0.2">
      <c r="A8" t="s">
        <v>160</v>
      </c>
      <c r="B8">
        <v>5.84</v>
      </c>
      <c r="C8" s="11"/>
      <c r="D8" s="11" t="s">
        <v>5</v>
      </c>
      <c r="E8" s="12"/>
      <c r="F8" s="7"/>
      <c r="K8" s="1" t="s">
        <v>26</v>
      </c>
      <c r="L8" s="1"/>
      <c r="M8" s="16">
        <f>M6</f>
        <v>0.14000000000000001</v>
      </c>
    </row>
    <row r="9" spans="1:24" ht="14.25" x14ac:dyDescent="0.2">
      <c r="A9" t="s">
        <v>161</v>
      </c>
      <c r="B9">
        <v>0.06</v>
      </c>
      <c r="C9" s="17"/>
      <c r="D9" s="17"/>
      <c r="E9" s="18"/>
      <c r="F9" s="19" t="s">
        <v>8</v>
      </c>
      <c r="G9" s="20" t="s">
        <v>27</v>
      </c>
      <c r="H9" s="21"/>
      <c r="I9" s="22" t="s">
        <v>28</v>
      </c>
      <c r="J9" s="23" t="s">
        <v>29</v>
      </c>
      <c r="L9" s="82"/>
      <c r="M9" s="82"/>
      <c r="N9" s="82"/>
      <c r="O9" s="112"/>
    </row>
    <row r="10" spans="1:24" ht="14.25" x14ac:dyDescent="0.2">
      <c r="C10" s="24" t="s">
        <v>30</v>
      </c>
      <c r="D10" s="24"/>
      <c r="E10" s="25" t="s">
        <v>31</v>
      </c>
      <c r="F10" s="26" t="s">
        <v>32</v>
      </c>
      <c r="G10" s="26" t="s">
        <v>33</v>
      </c>
      <c r="H10" s="27" t="s">
        <v>34</v>
      </c>
      <c r="I10" s="28" t="s">
        <v>35</v>
      </c>
      <c r="J10" s="29" t="s">
        <v>36</v>
      </c>
      <c r="L10" s="82"/>
      <c r="M10" s="82"/>
      <c r="N10" s="103"/>
      <c r="O10" s="82"/>
    </row>
    <row r="11" spans="1:24" ht="15" thickBot="1" x14ac:dyDescent="0.25">
      <c r="C11" s="138"/>
      <c r="D11" s="138"/>
      <c r="E11" s="139"/>
      <c r="F11" s="19" t="s">
        <v>136</v>
      </c>
      <c r="G11" s="19" t="s">
        <v>138</v>
      </c>
      <c r="H11" s="140" t="s">
        <v>137</v>
      </c>
      <c r="I11" s="141"/>
      <c r="J11" s="29"/>
      <c r="L11" s="82"/>
      <c r="M11" s="82"/>
      <c r="N11" s="103"/>
      <c r="O11" s="82"/>
      <c r="W11" t="s">
        <v>156</v>
      </c>
      <c r="X11" t="s">
        <v>157</v>
      </c>
    </row>
    <row r="12" spans="1:24" x14ac:dyDescent="0.15">
      <c r="C12" s="6">
        <v>0</v>
      </c>
      <c r="D12" s="152">
        <f t="shared" ref="D12:D47" si="0">(L1_^p+(L2_^p-L1_^p)*(1-EXP(-k*((C12+offset-shift)-A1_)))/(1-EXP(-k*(A2_-A1_))))^(1/p)</f>
        <v>35.36307336354951</v>
      </c>
      <c r="E12" s="13">
        <f t="shared" ref="E12:E47" si="1">IF(C12&gt;tmax," ",a*(D12)^b)</f>
        <v>1.0057409296356601</v>
      </c>
      <c r="F12" s="30">
        <f>IF(C12&gt;tmax," ",alpha*E12^beta)</f>
        <v>2.9950580953886958</v>
      </c>
      <c r="G12" s="30" t="str">
        <f>IF(OR(C12&lt;full_sel_age,C12&gt;tmax),"",F12)</f>
        <v/>
      </c>
      <c r="H12" s="31">
        <f t="shared" ref="H12:H58" si="2">IF(C12&gt;tmax,"",F12*cum_M/cum_L)</f>
        <v>0.65702071312049315</v>
      </c>
      <c r="I12" s="32" t="str">
        <f>IF(OR(C12&lt;plus_age,C12&gt;tmax),"",IF(C12=plus_age,1,I10*EXP(-H10)))</f>
        <v/>
      </c>
      <c r="J12" s="33">
        <f t="shared" ref="J12:J58" si="3">IF(C12&lt;plus_age,H12,plus_m)</f>
        <v>0.65702071312049315</v>
      </c>
      <c r="K12" t="str">
        <f t="shared" ref="K12:K23" si="4">IF(C12&gt;=full_sel_age,J12,"")</f>
        <v/>
      </c>
      <c r="L12" s="82"/>
      <c r="M12" s="153"/>
      <c r="N12" s="153"/>
      <c r="O12" s="9"/>
      <c r="W12">
        <v>0.14000000000000001</v>
      </c>
    </row>
    <row r="13" spans="1:24" x14ac:dyDescent="0.15">
      <c r="C13" s="6">
        <f t="shared" ref="C13:C38" si="5">IF(C12&lt;tmax,C12+1," ")</f>
        <v>1</v>
      </c>
      <c r="D13" s="152">
        <f t="shared" si="0"/>
        <v>50.922390551120031</v>
      </c>
      <c r="E13" s="13">
        <f t="shared" si="1"/>
        <v>2.87285771596519</v>
      </c>
      <c r="F13" s="30">
        <f t="shared" ref="F13:F58" si="6">IF(C13&gt;tmax," ",alpha*E13^beta)</f>
        <v>2.2137409000404529</v>
      </c>
      <c r="G13" s="30" t="str">
        <f t="shared" ref="G13:G58" si="7">IF(OR(C13&lt;full_sel_age,C13&gt;tmax),"",F13)</f>
        <v/>
      </c>
      <c r="H13" s="31">
        <f t="shared" si="2"/>
        <v>0.48562451160728498</v>
      </c>
      <c r="I13" s="32" t="str">
        <f t="shared" ref="I13:I30" si="8">IF(OR(C13&lt;plus_age,C13&gt;tmax),"",IF(C13=plus_age,1,I12*EXP(-H12)))</f>
        <v/>
      </c>
      <c r="J13" s="35">
        <f t="shared" si="3"/>
        <v>0.48562451160728498</v>
      </c>
      <c r="K13" t="str">
        <f t="shared" si="4"/>
        <v/>
      </c>
      <c r="L13" s="82"/>
      <c r="M13" s="153"/>
      <c r="N13" s="153"/>
      <c r="O13" s="9"/>
      <c r="P13" t="s">
        <v>5</v>
      </c>
      <c r="Q13" t="s">
        <v>5</v>
      </c>
      <c r="V13">
        <v>1</v>
      </c>
      <c r="W13">
        <v>0.14000000000000001</v>
      </c>
      <c r="X13">
        <v>0.49</v>
      </c>
    </row>
    <row r="14" spans="1:24" x14ac:dyDescent="0.15">
      <c r="C14" s="6">
        <f t="shared" si="5"/>
        <v>2</v>
      </c>
      <c r="D14" s="152">
        <f t="shared" si="0"/>
        <v>69.05655494855786</v>
      </c>
      <c r="E14" s="13">
        <f t="shared" si="1"/>
        <v>6.9043378006352656</v>
      </c>
      <c r="F14" s="30">
        <f t="shared" si="6"/>
        <v>1.7197056165149149</v>
      </c>
      <c r="G14" s="30" t="str">
        <f t="shared" si="7"/>
        <v/>
      </c>
      <c r="H14" s="31">
        <f t="shared" si="2"/>
        <v>0.3772488461107168</v>
      </c>
      <c r="I14" s="32" t="str">
        <f t="shared" si="8"/>
        <v/>
      </c>
      <c r="J14" s="35">
        <f t="shared" si="3"/>
        <v>0.3772488461107168</v>
      </c>
      <c r="K14" t="str">
        <f t="shared" si="4"/>
        <v/>
      </c>
      <c r="L14" s="82"/>
      <c r="M14" s="153"/>
      <c r="N14" s="153"/>
      <c r="O14" s="9"/>
      <c r="P14" t="s">
        <v>5</v>
      </c>
      <c r="Q14" t="s">
        <v>5</v>
      </c>
      <c r="V14">
        <v>2</v>
      </c>
      <c r="W14">
        <v>0.14000000000000001</v>
      </c>
      <c r="X14">
        <v>0.24</v>
      </c>
    </row>
    <row r="15" spans="1:24" x14ac:dyDescent="0.15">
      <c r="C15" s="6">
        <f t="shared" si="5"/>
        <v>3</v>
      </c>
      <c r="D15" s="152">
        <f t="shared" si="0"/>
        <v>88.917611017318748</v>
      </c>
      <c r="E15" s="13">
        <f t="shared" si="1"/>
        <v>14.293107622429364</v>
      </c>
      <c r="F15" s="30">
        <f t="shared" si="6"/>
        <v>1.3945843123922674</v>
      </c>
      <c r="G15" s="30" t="str">
        <f t="shared" si="7"/>
        <v/>
      </c>
      <c r="H15" s="31">
        <f t="shared" si="2"/>
        <v>0.30592754806504258</v>
      </c>
      <c r="I15" s="32" t="str">
        <f t="shared" si="8"/>
        <v/>
      </c>
      <c r="J15" s="35">
        <f t="shared" si="3"/>
        <v>0.30592754806504258</v>
      </c>
      <c r="K15" s="101" t="str">
        <f t="shared" si="4"/>
        <v/>
      </c>
      <c r="L15" s="82"/>
      <c r="M15" s="153"/>
      <c r="N15" s="153"/>
      <c r="O15" s="9"/>
      <c r="V15">
        <v>3</v>
      </c>
      <c r="W15">
        <v>0.14000000000000001</v>
      </c>
      <c r="X15">
        <v>0.24</v>
      </c>
    </row>
    <row r="16" spans="1:24" x14ac:dyDescent="0.15">
      <c r="C16" s="6">
        <f t="shared" si="5"/>
        <v>4</v>
      </c>
      <c r="D16" s="152">
        <f t="shared" si="0"/>
        <v>109.53793064983296</v>
      </c>
      <c r="E16" s="13">
        <f t="shared" si="1"/>
        <v>26.052379138399161</v>
      </c>
      <c r="F16" s="30">
        <f t="shared" si="6"/>
        <v>1.1731598908033003</v>
      </c>
      <c r="G16" s="30">
        <f t="shared" si="7"/>
        <v>1.1731598908033003</v>
      </c>
      <c r="H16" s="31">
        <f t="shared" si="2"/>
        <v>0.25735405575160025</v>
      </c>
      <c r="I16" s="32" t="str">
        <f t="shared" si="8"/>
        <v/>
      </c>
      <c r="J16" s="35">
        <f t="shared" si="3"/>
        <v>0.25735405575160025</v>
      </c>
      <c r="K16" s="101">
        <f t="shared" si="4"/>
        <v>0.25735405575160025</v>
      </c>
      <c r="L16" s="82"/>
      <c r="M16" s="153"/>
      <c r="N16" s="153"/>
      <c r="O16" s="9"/>
      <c r="V16">
        <v>4</v>
      </c>
      <c r="W16">
        <v>0.14000000000000001</v>
      </c>
      <c r="X16">
        <v>0.24</v>
      </c>
    </row>
    <row r="17" spans="3:24" x14ac:dyDescent="0.15">
      <c r="C17" s="6">
        <f t="shared" si="5"/>
        <v>5</v>
      </c>
      <c r="D17" s="152">
        <f t="shared" si="0"/>
        <v>129.99604685270532</v>
      </c>
      <c r="E17" s="13">
        <f t="shared" si="1"/>
        <v>42.648637824632658</v>
      </c>
      <c r="F17" s="30">
        <f t="shared" si="6"/>
        <v>1.0179080930716871</v>
      </c>
      <c r="G17" s="30">
        <f t="shared" si="7"/>
        <v>1.0179080930716871</v>
      </c>
      <c r="H17" s="31">
        <f t="shared" si="2"/>
        <v>0.22329673745920664</v>
      </c>
      <c r="I17" s="32" t="str">
        <f t="shared" si="8"/>
        <v/>
      </c>
      <c r="J17" s="35">
        <f t="shared" si="3"/>
        <v>0.22329673745920664</v>
      </c>
      <c r="K17" s="101">
        <f t="shared" si="4"/>
        <v>0.22329673745920664</v>
      </c>
      <c r="L17" s="82"/>
      <c r="M17" s="153"/>
      <c r="N17" s="153"/>
      <c r="O17" s="9"/>
      <c r="V17">
        <v>5</v>
      </c>
      <c r="W17">
        <v>0.14000000000000001</v>
      </c>
      <c r="X17">
        <v>0.24</v>
      </c>
    </row>
    <row r="18" spans="3:24" x14ac:dyDescent="0.15">
      <c r="C18" s="6">
        <f t="shared" si="5"/>
        <v>6</v>
      </c>
      <c r="D18" s="152">
        <f t="shared" si="0"/>
        <v>149.53238717968014</v>
      </c>
      <c r="E18" s="13">
        <f t="shared" si="1"/>
        <v>63.816021521973767</v>
      </c>
      <c r="F18" s="30">
        <f t="shared" si="6"/>
        <v>0.90636159241921543</v>
      </c>
      <c r="G18" s="30">
        <f t="shared" si="7"/>
        <v>0.90636159241921543</v>
      </c>
      <c r="H18" s="31">
        <f t="shared" si="2"/>
        <v>0.19882697457960841</v>
      </c>
      <c r="I18" s="32" t="str">
        <f t="shared" si="8"/>
        <v/>
      </c>
      <c r="J18" s="35">
        <f t="shared" si="3"/>
        <v>0.19882697457960841</v>
      </c>
      <c r="K18" s="101">
        <f t="shared" si="4"/>
        <v>0.19882697457960841</v>
      </c>
      <c r="L18" s="82"/>
      <c r="M18" s="153"/>
      <c r="N18" s="153"/>
      <c r="O18" s="9"/>
      <c r="V18">
        <v>6</v>
      </c>
      <c r="W18">
        <v>0.14000000000000001</v>
      </c>
      <c r="X18">
        <v>0.2</v>
      </c>
    </row>
    <row r="19" spans="3:24" x14ac:dyDescent="0.15">
      <c r="C19" s="6">
        <f t="shared" si="5"/>
        <v>7</v>
      </c>
      <c r="D19" s="152">
        <f t="shared" si="0"/>
        <v>167.60322237099862</v>
      </c>
      <c r="E19" s="13">
        <f t="shared" si="1"/>
        <v>88.623442991927519</v>
      </c>
      <c r="F19" s="30">
        <f t="shared" si="6"/>
        <v>0.82456947347036669</v>
      </c>
      <c r="G19" s="30">
        <f t="shared" si="7"/>
        <v>0.82456947347036669</v>
      </c>
      <c r="H19" s="31">
        <f t="shared" si="2"/>
        <v>0.18088437894109724</v>
      </c>
      <c r="I19" s="32" t="str">
        <f t="shared" si="8"/>
        <v/>
      </c>
      <c r="J19" s="35">
        <f t="shared" si="3"/>
        <v>0.18088437894109724</v>
      </c>
      <c r="K19" s="101">
        <f t="shared" si="4"/>
        <v>0.18088437894109724</v>
      </c>
      <c r="L19" s="82"/>
      <c r="M19" s="153"/>
      <c r="N19" s="153"/>
      <c r="O19" s="9"/>
      <c r="V19">
        <v>7</v>
      </c>
      <c r="W19">
        <v>0.14000000000000001</v>
      </c>
      <c r="X19">
        <v>0.17499999999999999</v>
      </c>
    </row>
    <row r="20" spans="3:24" x14ac:dyDescent="0.15">
      <c r="C20" s="6">
        <f t="shared" si="5"/>
        <v>8</v>
      </c>
      <c r="D20" s="152">
        <f t="shared" si="0"/>
        <v>183.88290716193168</v>
      </c>
      <c r="E20" s="13">
        <f t="shared" si="1"/>
        <v>115.72632677800127</v>
      </c>
      <c r="F20" s="30">
        <f t="shared" si="6"/>
        <v>0.76357691526101967</v>
      </c>
      <c r="G20" s="30">
        <f t="shared" si="7"/>
        <v>0.76357691526101967</v>
      </c>
      <c r="H20" s="31">
        <f t="shared" si="2"/>
        <v>0.16750454696005929</v>
      </c>
      <c r="I20" s="32" t="str">
        <f t="shared" si="8"/>
        <v/>
      </c>
      <c r="J20" s="35">
        <f t="shared" si="3"/>
        <v>0.16750454696005929</v>
      </c>
      <c r="K20" s="101">
        <f t="shared" si="4"/>
        <v>0.16750454696005929</v>
      </c>
      <c r="L20" s="82"/>
      <c r="M20" s="153"/>
      <c r="N20" s="153"/>
      <c r="O20" s="9"/>
      <c r="V20">
        <v>8</v>
      </c>
      <c r="W20">
        <v>0.14000000000000001</v>
      </c>
      <c r="X20">
        <v>0.15</v>
      </c>
    </row>
    <row r="21" spans="3:24" x14ac:dyDescent="0.15">
      <c r="C21" s="6">
        <f t="shared" si="5"/>
        <v>9</v>
      </c>
      <c r="D21" s="152">
        <f t="shared" si="0"/>
        <v>198.2334947051672</v>
      </c>
      <c r="E21" s="13">
        <f t="shared" si="1"/>
        <v>143.67207460020708</v>
      </c>
      <c r="F21" s="30">
        <f t="shared" si="6"/>
        <v>0.71746053029504342</v>
      </c>
      <c r="G21" s="30">
        <f t="shared" si="7"/>
        <v>0.71746053029504342</v>
      </c>
      <c r="H21" s="31">
        <f t="shared" si="2"/>
        <v>0.15738807536856159</v>
      </c>
      <c r="I21" s="32" t="str">
        <f t="shared" si="8"/>
        <v/>
      </c>
      <c r="J21" s="35">
        <f t="shared" si="3"/>
        <v>0.15738807536856159</v>
      </c>
      <c r="K21" s="101">
        <f t="shared" si="4"/>
        <v>0.15738807536856159</v>
      </c>
      <c r="L21" s="82"/>
      <c r="M21" s="153"/>
      <c r="N21" s="153"/>
      <c r="O21" s="9"/>
      <c r="P21" s="82"/>
      <c r="V21">
        <v>9</v>
      </c>
      <c r="W21">
        <v>0.14000000000000001</v>
      </c>
      <c r="X21">
        <v>0.125</v>
      </c>
    </row>
    <row r="22" spans="3:24" x14ac:dyDescent="0.15">
      <c r="C22" s="6">
        <f t="shared" si="5"/>
        <v>10</v>
      </c>
      <c r="D22" s="152">
        <f t="shared" si="0"/>
        <v>210.66011566192304</v>
      </c>
      <c r="E22" s="13">
        <f t="shared" si="1"/>
        <v>171.15069631941589</v>
      </c>
      <c r="F22" s="30">
        <f t="shared" si="6"/>
        <v>0.68219447477151829</v>
      </c>
      <c r="G22" s="30">
        <f t="shared" si="7"/>
        <v>0.68219447477151829</v>
      </c>
      <c r="H22" s="31">
        <f t="shared" si="2"/>
        <v>0.14965182177645678</v>
      </c>
      <c r="I22" s="32" t="str">
        <f t="shared" si="8"/>
        <v/>
      </c>
      <c r="J22" s="35">
        <f t="shared" si="3"/>
        <v>0.14965182177645678</v>
      </c>
      <c r="K22" s="101">
        <f t="shared" si="4"/>
        <v>0.14965182177645678</v>
      </c>
      <c r="L22" s="82"/>
      <c r="M22" s="153"/>
      <c r="N22" s="153"/>
      <c r="O22" s="9"/>
      <c r="P22" s="82"/>
      <c r="V22">
        <v>10</v>
      </c>
      <c r="W22">
        <v>0.14000000000000001</v>
      </c>
      <c r="X22">
        <v>0.1</v>
      </c>
    </row>
    <row r="23" spans="3:24" x14ac:dyDescent="0.15">
      <c r="C23" s="6">
        <f t="shared" si="5"/>
        <v>11</v>
      </c>
      <c r="D23" s="152">
        <f t="shared" si="0"/>
        <v>221.26528627493616</v>
      </c>
      <c r="E23" s="13">
        <f t="shared" si="1"/>
        <v>197.14184188739878</v>
      </c>
      <c r="F23" s="30">
        <f t="shared" si="6"/>
        <v>0.6549753528104546</v>
      </c>
      <c r="G23" s="30">
        <f t="shared" si="7"/>
        <v>0.6549753528104546</v>
      </c>
      <c r="H23" s="31">
        <f t="shared" si="2"/>
        <v>0.14368081007925268</v>
      </c>
      <c r="I23" s="32" t="str">
        <f t="shared" si="8"/>
        <v/>
      </c>
      <c r="J23" s="35">
        <f t="shared" si="3"/>
        <v>0.14368081007925268</v>
      </c>
      <c r="K23" s="101">
        <f t="shared" si="4"/>
        <v>0.14368081007925268</v>
      </c>
      <c r="L23" s="9"/>
      <c r="M23" s="153"/>
      <c r="N23" s="153"/>
      <c r="O23" s="154"/>
      <c r="P23" s="82"/>
      <c r="V23">
        <v>11</v>
      </c>
      <c r="W23">
        <v>0.14000000000000001</v>
      </c>
      <c r="X23">
        <v>0.1</v>
      </c>
    </row>
    <row r="24" spans="3:24" x14ac:dyDescent="0.15">
      <c r="C24" s="6">
        <f t="shared" si="5"/>
        <v>12</v>
      </c>
      <c r="D24" s="152">
        <f t="shared" si="0"/>
        <v>230.20947061321465</v>
      </c>
      <c r="E24" s="13">
        <f t="shared" si="1"/>
        <v>220.96153080381706</v>
      </c>
      <c r="F24" s="30">
        <f t="shared" si="6"/>
        <v>0.6338084920408823</v>
      </c>
      <c r="G24" s="30">
        <f t="shared" si="7"/>
        <v>0.6338084920408823</v>
      </c>
      <c r="H24" s="31">
        <f t="shared" si="2"/>
        <v>0.13903747244958919</v>
      </c>
      <c r="I24" s="32" t="str">
        <f t="shared" si="8"/>
        <v/>
      </c>
      <c r="J24" s="35">
        <f t="shared" si="3"/>
        <v>0.13903747244958919</v>
      </c>
      <c r="L24" s="9"/>
      <c r="M24" s="9"/>
      <c r="N24" s="104"/>
      <c r="O24" s="9"/>
      <c r="P24" s="82"/>
      <c r="V24">
        <v>12</v>
      </c>
      <c r="W24">
        <v>0.14000000000000001</v>
      </c>
      <c r="X24">
        <v>0.1</v>
      </c>
    </row>
    <row r="25" spans="3:24" x14ac:dyDescent="0.15">
      <c r="C25" s="6">
        <f t="shared" si="5"/>
        <v>13</v>
      </c>
      <c r="D25" s="152">
        <f t="shared" si="0"/>
        <v>237.68068644881029</v>
      </c>
      <c r="E25" s="13">
        <f t="shared" si="1"/>
        <v>242.23830572135046</v>
      </c>
      <c r="F25" s="30">
        <f t="shared" si="6"/>
        <v>0.61724747565894422</v>
      </c>
      <c r="G25" s="30">
        <f t="shared" si="7"/>
        <v>0.61724747565894422</v>
      </c>
      <c r="H25" s="31">
        <f t="shared" si="2"/>
        <v>0.13540451093541561</v>
      </c>
      <c r="I25" s="32" t="str">
        <f t="shared" si="8"/>
        <v/>
      </c>
      <c r="J25" s="35">
        <f t="shared" si="3"/>
        <v>0.13540451093541561</v>
      </c>
      <c r="L25" s="9"/>
      <c r="M25" s="9"/>
      <c r="N25" s="104"/>
      <c r="O25" s="82"/>
      <c r="P25" s="82"/>
      <c r="V25">
        <v>13</v>
      </c>
      <c r="W25">
        <v>0.14000000000000001</v>
      </c>
      <c r="X25">
        <v>0.1</v>
      </c>
    </row>
    <row r="26" spans="3:24" x14ac:dyDescent="0.15">
      <c r="C26" s="6">
        <f t="shared" si="5"/>
        <v>14</v>
      </c>
      <c r="D26" s="152">
        <f t="shared" si="0"/>
        <v>243.87314265619261</v>
      </c>
      <c r="E26" s="13">
        <f t="shared" si="1"/>
        <v>260.85271012789673</v>
      </c>
      <c r="F26" s="30">
        <f t="shared" si="6"/>
        <v>0.60422597754574614</v>
      </c>
      <c r="G26" s="30">
        <f t="shared" si="7"/>
        <v>0.60422597754574614</v>
      </c>
      <c r="H26" s="31">
        <f t="shared" si="2"/>
        <v>0.13254800742070827</v>
      </c>
      <c r="I26" s="32" t="str">
        <f t="shared" si="8"/>
        <v/>
      </c>
      <c r="J26" s="35">
        <f t="shared" si="3"/>
        <v>0.13254800742070827</v>
      </c>
      <c r="L26" s="9"/>
      <c r="M26" s="9"/>
      <c r="N26" s="104"/>
      <c r="O26" s="82"/>
      <c r="P26" s="82"/>
      <c r="V26">
        <v>14</v>
      </c>
      <c r="W26">
        <v>0.14000000000000001</v>
      </c>
      <c r="X26">
        <v>0.1</v>
      </c>
    </row>
    <row r="27" spans="3:24" x14ac:dyDescent="0.15">
      <c r="C27" s="6">
        <f t="shared" si="5"/>
        <v>15</v>
      </c>
      <c r="D27" s="152">
        <f t="shared" si="0"/>
        <v>248.97353047749453</v>
      </c>
      <c r="E27" s="13">
        <f t="shared" si="1"/>
        <v>276.86645065579546</v>
      </c>
      <c r="F27" s="30">
        <f t="shared" si="6"/>
        <v>0.59394659748618184</v>
      </c>
      <c r="G27" s="30">
        <f t="shared" si="7"/>
        <v>0.59394659748618184</v>
      </c>
      <c r="H27" s="31">
        <f t="shared" si="2"/>
        <v>0.13029303759973221</v>
      </c>
      <c r="I27" s="32" t="str">
        <f t="shared" si="8"/>
        <v/>
      </c>
      <c r="J27" s="35">
        <f t="shared" si="3"/>
        <v>0.13029303759973221</v>
      </c>
      <c r="L27" s="9"/>
      <c r="M27" s="9"/>
      <c r="N27" s="104"/>
      <c r="O27" s="82"/>
      <c r="P27" s="82"/>
      <c r="V27">
        <v>15</v>
      </c>
      <c r="W27">
        <v>0.14000000000000001</v>
      </c>
      <c r="X27">
        <v>0.1</v>
      </c>
    </row>
    <row r="28" spans="3:24" x14ac:dyDescent="0.15">
      <c r="C28" s="6">
        <f t="shared" si="5"/>
        <v>16</v>
      </c>
      <c r="D28" s="152">
        <f t="shared" si="0"/>
        <v>253.15316757529988</v>
      </c>
      <c r="E28" s="13">
        <f t="shared" si="1"/>
        <v>290.45715257558874</v>
      </c>
      <c r="F28" s="30">
        <f t="shared" si="6"/>
        <v>0.5858057321415937</v>
      </c>
      <c r="G28" s="30">
        <f t="shared" si="7"/>
        <v>0.5858057321415937</v>
      </c>
      <c r="H28" s="31">
        <f t="shared" si="2"/>
        <v>0.12850719005228253</v>
      </c>
      <c r="I28" s="32" t="str">
        <f t="shared" si="8"/>
        <v/>
      </c>
      <c r="J28" s="35">
        <f t="shared" si="3"/>
        <v>0.12850719005228253</v>
      </c>
      <c r="L28" s="9"/>
      <c r="M28" s="9"/>
      <c r="N28" s="104"/>
      <c r="O28" s="82"/>
      <c r="P28" s="82"/>
      <c r="V28">
        <v>16</v>
      </c>
      <c r="W28">
        <v>0.14000000000000001</v>
      </c>
      <c r="X28">
        <v>0.1</v>
      </c>
    </row>
    <row r="29" spans="3:24" x14ac:dyDescent="0.15">
      <c r="C29" s="6">
        <f t="shared" si="5"/>
        <v>17</v>
      </c>
      <c r="D29" s="152">
        <f t="shared" si="0"/>
        <v>256.56428075813568</v>
      </c>
      <c r="E29" s="13">
        <f t="shared" si="1"/>
        <v>301.86587078366614</v>
      </c>
      <c r="F29" s="30">
        <f t="shared" si="6"/>
        <v>0.57934173906223574</v>
      </c>
      <c r="G29" s="30">
        <f t="shared" si="7"/>
        <v>0.57934173906223574</v>
      </c>
      <c r="H29" s="31">
        <f t="shared" si="2"/>
        <v>0.12708919507277128</v>
      </c>
      <c r="I29" s="32" t="str">
        <f t="shared" si="8"/>
        <v/>
      </c>
      <c r="J29" s="35">
        <f t="shared" si="3"/>
        <v>0.12708919507277128</v>
      </c>
      <c r="L29" s="9"/>
      <c r="M29" s="9"/>
      <c r="N29" s="104"/>
      <c r="O29" s="82"/>
      <c r="P29" s="82"/>
      <c r="V29">
        <v>17</v>
      </c>
      <c r="W29">
        <v>0.14000000000000001</v>
      </c>
      <c r="X29">
        <v>0.1</v>
      </c>
    </row>
    <row r="30" spans="3:24" x14ac:dyDescent="0.15">
      <c r="C30" s="6">
        <f t="shared" si="5"/>
        <v>18</v>
      </c>
      <c r="D30" s="152">
        <f t="shared" si="0"/>
        <v>259.33901586017458</v>
      </c>
      <c r="E30" s="13">
        <f t="shared" si="1"/>
        <v>311.3588207498882</v>
      </c>
      <c r="F30" s="30">
        <f t="shared" si="6"/>
        <v>0.57419847758541165</v>
      </c>
      <c r="G30" s="30">
        <f t="shared" si="7"/>
        <v>0.57419847758541165</v>
      </c>
      <c r="H30" s="31">
        <f t="shared" si="2"/>
        <v>0.12596092670012404</v>
      </c>
      <c r="I30" s="32" t="str">
        <f t="shared" si="8"/>
        <v/>
      </c>
      <c r="J30" s="35">
        <f t="shared" si="3"/>
        <v>0.12596092670012404</v>
      </c>
      <c r="L30" s="9"/>
      <c r="M30" s="9"/>
      <c r="N30" s="104"/>
      <c r="O30" s="82"/>
      <c r="P30" s="82"/>
      <c r="V30">
        <v>18</v>
      </c>
      <c r="W30">
        <v>0.14000000000000001</v>
      </c>
      <c r="X30">
        <v>0.1</v>
      </c>
    </row>
    <row r="31" spans="3:24" x14ac:dyDescent="0.15">
      <c r="C31" s="6">
        <f t="shared" si="5"/>
        <v>19</v>
      </c>
      <c r="D31" s="152">
        <f t="shared" si="0"/>
        <v>261.59011221185176</v>
      </c>
      <c r="E31" s="13">
        <f t="shared" si="1"/>
        <v>319.20180672537418</v>
      </c>
      <c r="F31" s="30">
        <f t="shared" si="6"/>
        <v>0.57009920653729851</v>
      </c>
      <c r="G31" s="30">
        <f t="shared" si="7"/>
        <v>0.57009920653729851</v>
      </c>
      <c r="H31" s="31">
        <f t="shared" si="2"/>
        <v>0.12506167670178439</v>
      </c>
      <c r="I31" s="32" t="str">
        <f t="shared" ref="I31:I58" si="9">IF(OR(C31&lt;plus_age,C31&gt;tmax),"",IF(C31=plus_age,1,I30*EXP(-H30-F)))</f>
        <v/>
      </c>
      <c r="J31" s="35">
        <f t="shared" si="3"/>
        <v>0.12506167670178439</v>
      </c>
      <c r="L31" s="9"/>
      <c r="M31" s="9"/>
      <c r="N31" s="104"/>
      <c r="O31" s="82"/>
      <c r="P31" s="82"/>
      <c r="V31">
        <v>19</v>
      </c>
      <c r="W31">
        <v>0.14000000000000001</v>
      </c>
      <c r="X31">
        <v>0.1</v>
      </c>
    </row>
    <row r="32" spans="3:24" x14ac:dyDescent="0.15">
      <c r="C32" s="6">
        <f t="shared" si="5"/>
        <v>20</v>
      </c>
      <c r="D32" s="152">
        <f t="shared" si="0"/>
        <v>263.41249326469494</v>
      </c>
      <c r="E32" s="13">
        <f t="shared" si="1"/>
        <v>325.64468920941823</v>
      </c>
      <c r="F32" s="30">
        <f t="shared" si="6"/>
        <v>0.56682759214310763</v>
      </c>
      <c r="G32" s="30">
        <f t="shared" si="7"/>
        <v>0.56682759214310763</v>
      </c>
      <c r="H32" s="31">
        <f t="shared" si="2"/>
        <v>0.1243439883118209</v>
      </c>
      <c r="I32" s="32" t="str">
        <f t="shared" si="9"/>
        <v/>
      </c>
      <c r="J32" s="35">
        <f t="shared" si="3"/>
        <v>0.1243439883118209</v>
      </c>
      <c r="L32" s="9"/>
      <c r="M32" s="9"/>
      <c r="N32" s="104"/>
      <c r="O32" s="82"/>
      <c r="P32" s="82"/>
      <c r="V32">
        <v>20</v>
      </c>
      <c r="W32">
        <v>0.14000000000000001</v>
      </c>
      <c r="X32">
        <v>0.1</v>
      </c>
    </row>
    <row r="33" spans="3:24" x14ac:dyDescent="0.15">
      <c r="C33" s="6">
        <f t="shared" si="5"/>
        <v>21</v>
      </c>
      <c r="D33" s="152">
        <f t="shared" si="0"/>
        <v>264.88527549781969</v>
      </c>
      <c r="E33" s="13">
        <f t="shared" si="1"/>
        <v>330.91314563441625</v>
      </c>
      <c r="F33" s="30">
        <f t="shared" si="6"/>
        <v>0.56421368656372672</v>
      </c>
      <c r="G33" s="30">
        <f t="shared" si="7"/>
        <v>0.56421368656372672</v>
      </c>
      <c r="H33" s="31">
        <f t="shared" si="2"/>
        <v>0.12377058036676682</v>
      </c>
      <c r="I33" s="32" t="str">
        <f t="shared" si="9"/>
        <v/>
      </c>
      <c r="J33" s="35">
        <f t="shared" si="3"/>
        <v>0.12377058036676682</v>
      </c>
      <c r="L33" s="34" t="s">
        <v>94</v>
      </c>
      <c r="M33" s="9"/>
      <c r="N33" s="104"/>
      <c r="O33" s="82"/>
      <c r="P33" s="82"/>
      <c r="V33">
        <v>21</v>
      </c>
      <c r="W33">
        <v>0.14000000000000001</v>
      </c>
      <c r="X33">
        <v>0.1</v>
      </c>
    </row>
    <row r="34" spans="3:24" x14ac:dyDescent="0.15">
      <c r="C34" s="6">
        <f t="shared" si="5"/>
        <v>22</v>
      </c>
      <c r="D34" s="152">
        <f t="shared" si="0"/>
        <v>266.073882940705</v>
      </c>
      <c r="E34" s="13">
        <f t="shared" si="1"/>
        <v>335.20536974803514</v>
      </c>
      <c r="F34" s="30">
        <f t="shared" si="6"/>
        <v>0.56212344112343482</v>
      </c>
      <c r="G34" s="30">
        <f t="shared" si="7"/>
        <v>0.56212344112343482</v>
      </c>
      <c r="H34" s="31">
        <f t="shared" si="2"/>
        <v>0.12331204684052507</v>
      </c>
      <c r="I34" s="32" t="str">
        <f t="shared" si="9"/>
        <v/>
      </c>
      <c r="J34" s="35">
        <f t="shared" si="3"/>
        <v>0.12331204684052507</v>
      </c>
      <c r="L34" s="102">
        <f>AVERAGE(J16:J47)</f>
        <v>0.14000000000000007</v>
      </c>
      <c r="M34" s="9"/>
      <c r="N34" s="104"/>
      <c r="O34" s="82"/>
      <c r="P34" s="82"/>
      <c r="V34">
        <v>22</v>
      </c>
      <c r="W34">
        <v>0.14000000000000001</v>
      </c>
      <c r="X34">
        <v>0.1</v>
      </c>
    </row>
    <row r="35" spans="3:24" x14ac:dyDescent="0.15">
      <c r="C35" s="6">
        <f t="shared" si="5"/>
        <v>23</v>
      </c>
      <c r="D35" s="152">
        <f t="shared" si="0"/>
        <v>267.03208408248298</v>
      </c>
      <c r="E35" s="13">
        <f t="shared" si="1"/>
        <v>338.69189058278442</v>
      </c>
      <c r="F35" s="30">
        <f t="shared" si="6"/>
        <v>0.5604507733963604</v>
      </c>
      <c r="G35" s="30">
        <f t="shared" si="7"/>
        <v>0.5604507733963604</v>
      </c>
      <c r="H35" s="31">
        <f t="shared" si="2"/>
        <v>0.12294511661484829</v>
      </c>
      <c r="I35" s="32" t="str">
        <f t="shared" si="9"/>
        <v/>
      </c>
      <c r="J35" s="35">
        <f t="shared" si="3"/>
        <v>0.12294511661484829</v>
      </c>
      <c r="L35" s="82"/>
      <c r="M35" s="82"/>
      <c r="N35" s="103"/>
      <c r="O35" s="82"/>
      <c r="P35" s="82"/>
      <c r="V35">
        <v>23</v>
      </c>
      <c r="W35">
        <v>0.14000000000000001</v>
      </c>
      <c r="X35">
        <v>0.1</v>
      </c>
    </row>
    <row r="36" spans="3:24" x14ac:dyDescent="0.15">
      <c r="C36" s="6">
        <f t="shared" si="5"/>
        <v>24</v>
      </c>
      <c r="D36" s="152">
        <f t="shared" si="0"/>
        <v>267.80385423457824</v>
      </c>
      <c r="E36" s="13">
        <f t="shared" si="1"/>
        <v>341.51720297748983</v>
      </c>
      <c r="F36" s="30">
        <f t="shared" si="6"/>
        <v>0.55911150667574416</v>
      </c>
      <c r="G36" s="30">
        <f t="shared" si="7"/>
        <v>0.55911150667574416</v>
      </c>
      <c r="H36" s="31">
        <f t="shared" si="2"/>
        <v>0.12265132399119515</v>
      </c>
      <c r="I36" s="32" t="str">
        <f t="shared" si="9"/>
        <v/>
      </c>
      <c r="J36" s="35">
        <f t="shared" si="3"/>
        <v>0.12265132399119515</v>
      </c>
      <c r="L36" s="82"/>
      <c r="M36" s="82"/>
      <c r="N36" s="103"/>
      <c r="O36" s="82"/>
      <c r="P36" s="82"/>
      <c r="V36">
        <v>24</v>
      </c>
      <c r="W36">
        <v>0.14000000000000001</v>
      </c>
      <c r="X36">
        <v>0.1</v>
      </c>
    </row>
    <row r="37" spans="3:24" ht="14.25" thickBot="1" x14ac:dyDescent="0.2">
      <c r="C37" s="6">
        <f t="shared" si="5"/>
        <v>25</v>
      </c>
      <c r="D37" s="152">
        <f t="shared" si="0"/>
        <v>268.42502139586395</v>
      </c>
      <c r="E37" s="13">
        <f t="shared" si="1"/>
        <v>343.80232198170785</v>
      </c>
      <c r="F37" s="30">
        <f t="shared" si="6"/>
        <v>0.55803870053400062</v>
      </c>
      <c r="G37" s="30">
        <f t="shared" si="7"/>
        <v>0.55803870053400062</v>
      </c>
      <c r="H37" s="31">
        <f t="shared" si="2"/>
        <v>0.12241598436376901</v>
      </c>
      <c r="I37" s="32" t="str">
        <f t="shared" si="9"/>
        <v/>
      </c>
      <c r="J37" s="36">
        <f t="shared" si="3"/>
        <v>0.12241598436376901</v>
      </c>
      <c r="V37">
        <v>25</v>
      </c>
      <c r="W37">
        <v>0.14000000000000001</v>
      </c>
      <c r="X37">
        <v>0.1</v>
      </c>
    </row>
    <row r="38" spans="3:24" x14ac:dyDescent="0.15">
      <c r="C38" s="6">
        <f t="shared" si="5"/>
        <v>26</v>
      </c>
      <c r="D38" s="152">
        <f t="shared" si="0"/>
        <v>268.92468696407281</v>
      </c>
      <c r="E38" s="13">
        <f t="shared" si="1"/>
        <v>345.64769054786802</v>
      </c>
      <c r="F38" s="30">
        <f t="shared" si="6"/>
        <v>0.5571790272348125</v>
      </c>
      <c r="G38" s="30">
        <f t="shared" si="7"/>
        <v>0.5571790272348125</v>
      </c>
      <c r="H38" s="31">
        <f t="shared" si="2"/>
        <v>0.12222739931930765</v>
      </c>
      <c r="I38" s="32" t="str">
        <f t="shared" si="9"/>
        <v/>
      </c>
      <c r="J38" s="37">
        <f t="shared" si="3"/>
        <v>0.12222739931930765</v>
      </c>
      <c r="V38">
        <v>26</v>
      </c>
      <c r="W38">
        <v>0.14000000000000001</v>
      </c>
      <c r="X38">
        <v>0.1</v>
      </c>
    </row>
    <row r="39" spans="3:24" x14ac:dyDescent="0.15">
      <c r="C39" s="6">
        <f>IF(C38&lt;tmax,C38+1,"")</f>
        <v>27</v>
      </c>
      <c r="D39" s="152">
        <f t="shared" si="0"/>
        <v>269.3264314868332</v>
      </c>
      <c r="E39" s="13">
        <f t="shared" si="1"/>
        <v>347.13609510631477</v>
      </c>
      <c r="F39" s="30">
        <f t="shared" si="6"/>
        <v>0.55648994271053187</v>
      </c>
      <c r="G39" s="30">
        <f t="shared" si="7"/>
        <v>0.55648994271053187</v>
      </c>
      <c r="H39" s="31">
        <f t="shared" si="2"/>
        <v>0.12207623603928974</v>
      </c>
      <c r="I39" s="32" t="str">
        <f t="shared" si="9"/>
        <v/>
      </c>
      <c r="J39" s="37">
        <f t="shared" si="3"/>
        <v>0.12207623603928974</v>
      </c>
      <c r="V39">
        <v>27</v>
      </c>
      <c r="W39">
        <v>0.14000000000000001</v>
      </c>
      <c r="X39">
        <v>0.1</v>
      </c>
    </row>
    <row r="40" spans="3:24" x14ac:dyDescent="0.15">
      <c r="C40" s="6">
        <f t="shared" ref="C40:C58" si="10">IF(C39&lt;tmax,C39+1," ")</f>
        <v>28</v>
      </c>
      <c r="D40" s="152">
        <f t="shared" si="0"/>
        <v>269.64932522084746</v>
      </c>
      <c r="E40" s="13">
        <f t="shared" si="1"/>
        <v>348.33539606470401</v>
      </c>
      <c r="F40" s="30">
        <f t="shared" si="6"/>
        <v>0.55593746671614386</v>
      </c>
      <c r="G40" s="30">
        <f t="shared" si="7"/>
        <v>0.55593746671614386</v>
      </c>
      <c r="H40" s="31">
        <f t="shared" si="2"/>
        <v>0.12195504033615008</v>
      </c>
      <c r="I40" s="32" t="str">
        <f t="shared" si="9"/>
        <v/>
      </c>
      <c r="J40" s="37">
        <f t="shared" si="3"/>
        <v>0.12195504033615008</v>
      </c>
      <c r="V40">
        <v>28</v>
      </c>
      <c r="W40">
        <v>0.14000000000000001</v>
      </c>
      <c r="X40">
        <v>0.1</v>
      </c>
    </row>
    <row r="41" spans="3:24" x14ac:dyDescent="0.15">
      <c r="C41" s="6">
        <f t="shared" si="10"/>
        <v>29</v>
      </c>
      <c r="D41" s="152">
        <f t="shared" si="0"/>
        <v>269.90876711736149</v>
      </c>
      <c r="E41" s="13">
        <f t="shared" si="1"/>
        <v>349.30097907072616</v>
      </c>
      <c r="F41" s="30">
        <f t="shared" si="6"/>
        <v>0.55549443369556117</v>
      </c>
      <c r="G41" s="30">
        <f t="shared" si="7"/>
        <v>0.55549443369556117</v>
      </c>
      <c r="H41" s="31">
        <f t="shared" si="2"/>
        <v>0.12185785294884453</v>
      </c>
      <c r="I41" s="32" t="str">
        <f t="shared" si="9"/>
        <v/>
      </c>
      <c r="J41" s="37">
        <f t="shared" si="3"/>
        <v>0.12185785294884453</v>
      </c>
      <c r="V41">
        <v>29</v>
      </c>
      <c r="W41">
        <v>0.14000000000000001</v>
      </c>
      <c r="X41">
        <v>0.1</v>
      </c>
    </row>
    <row r="42" spans="3:24" x14ac:dyDescent="0.15">
      <c r="C42" s="6">
        <f t="shared" si="10"/>
        <v>30</v>
      </c>
      <c r="D42" s="152">
        <f t="shared" si="0"/>
        <v>270.11717633436456</v>
      </c>
      <c r="E42" s="13">
        <f t="shared" si="1"/>
        <v>350.07789404183228</v>
      </c>
      <c r="F42" s="30">
        <f t="shared" si="6"/>
        <v>0.5551391097966375</v>
      </c>
      <c r="G42" s="30">
        <f t="shared" si="7"/>
        <v>0.5551391097966375</v>
      </c>
      <c r="H42" s="31">
        <f t="shared" si="2"/>
        <v>0.12177990615982598</v>
      </c>
      <c r="I42" s="32" t="str">
        <f t="shared" si="9"/>
        <v/>
      </c>
      <c r="J42" s="37">
        <f t="shared" si="3"/>
        <v>0.12177990615982598</v>
      </c>
      <c r="V42">
        <v>30</v>
      </c>
      <c r="W42">
        <v>0.14000000000000001</v>
      </c>
      <c r="X42">
        <v>0.1</v>
      </c>
    </row>
    <row r="43" spans="3:24" x14ac:dyDescent="0.15">
      <c r="C43" s="6">
        <f t="shared" si="10"/>
        <v>31</v>
      </c>
      <c r="D43" s="152">
        <f t="shared" si="0"/>
        <v>270.28455901120424</v>
      </c>
      <c r="E43" s="13">
        <f t="shared" si="1"/>
        <v>350.70268476289158</v>
      </c>
      <c r="F43" s="30">
        <f t="shared" si="6"/>
        <v>0.55485409629913518</v>
      </c>
      <c r="G43" s="30">
        <f t="shared" si="7"/>
        <v>0.55485409629913518</v>
      </c>
      <c r="H43" s="31">
        <f t="shared" si="2"/>
        <v>0.12171738324193457</v>
      </c>
      <c r="I43" s="32" t="str">
        <f t="shared" si="9"/>
        <v/>
      </c>
      <c r="J43" s="37">
        <f t="shared" si="3"/>
        <v>0.12171738324193457</v>
      </c>
      <c r="V43">
        <v>31</v>
      </c>
      <c r="W43">
        <v>0.14000000000000001</v>
      </c>
      <c r="X43">
        <v>0.1</v>
      </c>
    </row>
    <row r="44" spans="3:24" x14ac:dyDescent="0.15">
      <c r="C44" s="6">
        <f t="shared" si="10"/>
        <v>32</v>
      </c>
      <c r="D44" s="152">
        <f t="shared" si="0"/>
        <v>270.41897077959641</v>
      </c>
      <c r="E44" s="13">
        <f t="shared" si="1"/>
        <v>351.20493114907151</v>
      </c>
      <c r="F44" s="30">
        <f t="shared" si="6"/>
        <v>0.5546254581345893</v>
      </c>
      <c r="G44" s="30">
        <f t="shared" si="7"/>
        <v>0.5546254581345893</v>
      </c>
      <c r="H44" s="31">
        <f t="shared" si="2"/>
        <v>0.121667227283308</v>
      </c>
      <c r="I44" s="32" t="str">
        <f t="shared" si="9"/>
        <v/>
      </c>
      <c r="J44" s="37">
        <f t="shared" si="3"/>
        <v>0.121667227283308</v>
      </c>
      <c r="V44">
        <v>32</v>
      </c>
      <c r="W44">
        <v>0.14000000000000001</v>
      </c>
      <c r="X44">
        <v>0.1</v>
      </c>
    </row>
    <row r="45" spans="3:24" x14ac:dyDescent="0.15">
      <c r="C45" s="6">
        <f t="shared" si="10"/>
        <v>33</v>
      </c>
      <c r="D45" s="152">
        <f t="shared" si="0"/>
        <v>270.5268928986805</v>
      </c>
      <c r="E45" s="13">
        <f t="shared" si="1"/>
        <v>351.60853521533858</v>
      </c>
      <c r="F45" s="30">
        <f t="shared" si="6"/>
        <v>0.55444202999357883</v>
      </c>
      <c r="G45" s="30">
        <f t="shared" si="7"/>
        <v>0.55444202999357883</v>
      </c>
      <c r="H45" s="31">
        <f t="shared" si="2"/>
        <v>0.12162698896933385</v>
      </c>
      <c r="I45" s="32" t="str">
        <f t="shared" si="9"/>
        <v/>
      </c>
      <c r="J45" s="37">
        <f t="shared" si="3"/>
        <v>0.12162698896933385</v>
      </c>
      <c r="V45">
        <v>33</v>
      </c>
      <c r="W45">
        <v>0.14000000000000001</v>
      </c>
      <c r="X45">
        <v>0.1</v>
      </c>
    </row>
    <row r="46" spans="3:24" x14ac:dyDescent="0.15">
      <c r="C46" s="6">
        <f t="shared" si="10"/>
        <v>34</v>
      </c>
      <c r="D46" s="152">
        <f t="shared" si="0"/>
        <v>270.61353731896639</v>
      </c>
      <c r="E46" s="13">
        <f t="shared" si="1"/>
        <v>351.93278451044529</v>
      </c>
      <c r="F46" s="30">
        <f t="shared" si="6"/>
        <v>0.554294862990376</v>
      </c>
      <c r="G46" s="30">
        <f t="shared" si="7"/>
        <v>0.554294862990376</v>
      </c>
      <c r="H46" s="31">
        <f t="shared" si="2"/>
        <v>0.12159470519843106</v>
      </c>
      <c r="I46" s="32" t="str">
        <f t="shared" si="9"/>
        <v/>
      </c>
      <c r="J46" s="37">
        <f t="shared" si="3"/>
        <v>0.12159470519843106</v>
      </c>
      <c r="V46">
        <v>34</v>
      </c>
      <c r="W46">
        <v>0.14000000000000001</v>
      </c>
      <c r="X46">
        <v>0.1</v>
      </c>
    </row>
    <row r="47" spans="3:24" x14ac:dyDescent="0.15">
      <c r="C47" s="6">
        <f t="shared" si="10"/>
        <v>35</v>
      </c>
      <c r="D47" s="152">
        <f t="shared" si="0"/>
        <v>270.68309357513044</v>
      </c>
      <c r="E47" s="13">
        <f t="shared" si="1"/>
        <v>352.19322594878497</v>
      </c>
      <c r="F47" s="30">
        <f t="shared" si="6"/>
        <v>0.5541767828686559</v>
      </c>
      <c r="G47" s="30">
        <f t="shared" si="7"/>
        <v>0.5541767828686559</v>
      </c>
      <c r="H47" s="31">
        <f t="shared" si="2"/>
        <v>0.12156880216640062</v>
      </c>
      <c r="I47" s="32">
        <f t="shared" si="9"/>
        <v>1</v>
      </c>
      <c r="J47" s="37">
        <f t="shared" si="3"/>
        <v>0.12156880216640062</v>
      </c>
    </row>
    <row r="48" spans="3:24" x14ac:dyDescent="0.15">
      <c r="C48" s="6" t="str">
        <f t="shared" si="10"/>
        <v xml:space="preserve"> </v>
      </c>
      <c r="D48" s="41" t="str">
        <f t="shared" ref="D48:D58" si="11">IF(C48&gt;tmax," ",linf*(1-EXP(-k*(C48-t0+offset-shift))))</f>
        <v xml:space="preserve"> </v>
      </c>
      <c r="E48" s="13" t="str">
        <f t="shared" ref="E48:E58" si="12">IF(C48&gt;tmax," ",a*(D48)^b)</f>
        <v xml:space="preserve"> </v>
      </c>
      <c r="F48" s="30" t="str">
        <f t="shared" si="6"/>
        <v xml:space="preserve"> </v>
      </c>
      <c r="G48" s="30" t="str">
        <f t="shared" si="7"/>
        <v/>
      </c>
      <c r="H48" s="31" t="str">
        <f t="shared" si="2"/>
        <v/>
      </c>
      <c r="I48" s="32" t="str">
        <f t="shared" si="9"/>
        <v/>
      </c>
      <c r="J48" s="37">
        <f t="shared" si="3"/>
        <v>0.12156880216640062</v>
      </c>
      <c r="N48" s="44" t="s">
        <v>5</v>
      </c>
    </row>
    <row r="49" spans="3:10" x14ac:dyDescent="0.15">
      <c r="C49" s="6" t="str">
        <f t="shared" si="10"/>
        <v xml:space="preserve"> </v>
      </c>
      <c r="D49" s="41" t="str">
        <f t="shared" si="11"/>
        <v xml:space="preserve"> </v>
      </c>
      <c r="E49" s="13" t="str">
        <f t="shared" si="12"/>
        <v xml:space="preserve"> </v>
      </c>
      <c r="F49" s="30" t="str">
        <f t="shared" si="6"/>
        <v xml:space="preserve"> </v>
      </c>
      <c r="G49" s="30" t="str">
        <f t="shared" si="7"/>
        <v/>
      </c>
      <c r="H49" s="31" t="str">
        <f t="shared" si="2"/>
        <v/>
      </c>
      <c r="I49" s="32" t="str">
        <f t="shared" si="9"/>
        <v/>
      </c>
      <c r="J49" s="37">
        <f t="shared" si="3"/>
        <v>0.12156880216640062</v>
      </c>
    </row>
    <row r="50" spans="3:10" x14ac:dyDescent="0.15">
      <c r="C50" s="6" t="str">
        <f t="shared" si="10"/>
        <v xml:space="preserve"> </v>
      </c>
      <c r="D50" s="41" t="str">
        <f t="shared" si="11"/>
        <v xml:space="preserve"> </v>
      </c>
      <c r="E50" s="13" t="str">
        <f t="shared" si="12"/>
        <v xml:space="preserve"> </v>
      </c>
      <c r="F50" s="30" t="str">
        <f t="shared" si="6"/>
        <v xml:space="preserve"> </v>
      </c>
      <c r="G50" s="30" t="str">
        <f t="shared" si="7"/>
        <v/>
      </c>
      <c r="H50" s="31" t="str">
        <f t="shared" si="2"/>
        <v/>
      </c>
      <c r="I50" s="32" t="str">
        <f t="shared" si="9"/>
        <v/>
      </c>
      <c r="J50" s="37">
        <f t="shared" si="3"/>
        <v>0.12156880216640062</v>
      </c>
    </row>
    <row r="51" spans="3:10" x14ac:dyDescent="0.15">
      <c r="C51" s="6" t="str">
        <f t="shared" si="10"/>
        <v xml:space="preserve"> </v>
      </c>
      <c r="D51" s="41" t="str">
        <f t="shared" si="11"/>
        <v xml:space="preserve"> </v>
      </c>
      <c r="E51" s="13" t="str">
        <f t="shared" si="12"/>
        <v xml:space="preserve"> </v>
      </c>
      <c r="F51" s="30" t="str">
        <f t="shared" si="6"/>
        <v xml:space="preserve"> </v>
      </c>
      <c r="G51" s="30" t="str">
        <f t="shared" si="7"/>
        <v/>
      </c>
      <c r="H51" s="31" t="str">
        <f t="shared" si="2"/>
        <v/>
      </c>
      <c r="I51" s="32" t="str">
        <f t="shared" si="9"/>
        <v/>
      </c>
      <c r="J51" s="37">
        <f t="shared" si="3"/>
        <v>0.12156880216640062</v>
      </c>
    </row>
    <row r="52" spans="3:10" x14ac:dyDescent="0.15">
      <c r="C52" s="6" t="str">
        <f t="shared" si="10"/>
        <v xml:space="preserve"> </v>
      </c>
      <c r="D52" s="41" t="str">
        <f t="shared" si="11"/>
        <v xml:space="preserve"> </v>
      </c>
      <c r="E52" s="13" t="str">
        <f t="shared" si="12"/>
        <v xml:space="preserve"> </v>
      </c>
      <c r="F52" s="30" t="str">
        <f t="shared" si="6"/>
        <v xml:space="preserve"> </v>
      </c>
      <c r="G52" s="30" t="str">
        <f t="shared" si="7"/>
        <v/>
      </c>
      <c r="H52" s="31" t="str">
        <f t="shared" si="2"/>
        <v/>
      </c>
      <c r="I52" s="32" t="str">
        <f t="shared" si="9"/>
        <v/>
      </c>
      <c r="J52" s="37">
        <f t="shared" si="3"/>
        <v>0.12156880216640062</v>
      </c>
    </row>
    <row r="53" spans="3:10" x14ac:dyDescent="0.15">
      <c r="C53" s="6" t="str">
        <f t="shared" si="10"/>
        <v xml:space="preserve"> </v>
      </c>
      <c r="D53" s="41" t="str">
        <f t="shared" si="11"/>
        <v xml:space="preserve"> </v>
      </c>
      <c r="E53" s="13" t="str">
        <f t="shared" si="12"/>
        <v xml:space="preserve"> </v>
      </c>
      <c r="F53" s="30" t="str">
        <f t="shared" si="6"/>
        <v xml:space="preserve"> </v>
      </c>
      <c r="G53" s="30" t="str">
        <f t="shared" si="7"/>
        <v/>
      </c>
      <c r="H53" s="31" t="str">
        <f t="shared" si="2"/>
        <v/>
      </c>
      <c r="I53" s="32" t="str">
        <f t="shared" si="9"/>
        <v/>
      </c>
      <c r="J53" s="37">
        <f t="shared" si="3"/>
        <v>0.12156880216640062</v>
      </c>
    </row>
    <row r="54" spans="3:10" x14ac:dyDescent="0.15">
      <c r="C54" s="6" t="str">
        <f t="shared" si="10"/>
        <v xml:space="preserve"> </v>
      </c>
      <c r="D54" s="41" t="str">
        <f t="shared" si="11"/>
        <v xml:space="preserve"> </v>
      </c>
      <c r="E54" s="13" t="str">
        <f t="shared" si="12"/>
        <v xml:space="preserve"> </v>
      </c>
      <c r="F54" s="30" t="str">
        <f t="shared" si="6"/>
        <v xml:space="preserve"> </v>
      </c>
      <c r="G54" s="30" t="str">
        <f t="shared" si="7"/>
        <v/>
      </c>
      <c r="H54" s="31" t="str">
        <f t="shared" si="2"/>
        <v/>
      </c>
      <c r="I54" s="32" t="str">
        <f t="shared" si="9"/>
        <v/>
      </c>
      <c r="J54" s="37">
        <f t="shared" si="3"/>
        <v>0.12156880216640062</v>
      </c>
    </row>
    <row r="55" spans="3:10" x14ac:dyDescent="0.15">
      <c r="C55" s="6" t="str">
        <f t="shared" si="10"/>
        <v xml:space="preserve"> </v>
      </c>
      <c r="D55" s="41" t="str">
        <f t="shared" si="11"/>
        <v xml:space="preserve"> </v>
      </c>
      <c r="E55" s="13" t="str">
        <f t="shared" si="12"/>
        <v xml:space="preserve"> </v>
      </c>
      <c r="F55" s="30" t="str">
        <f t="shared" si="6"/>
        <v xml:space="preserve"> </v>
      </c>
      <c r="G55" s="30" t="str">
        <f t="shared" si="7"/>
        <v/>
      </c>
      <c r="H55" s="31" t="str">
        <f t="shared" si="2"/>
        <v/>
      </c>
      <c r="I55" s="32" t="str">
        <f t="shared" si="9"/>
        <v/>
      </c>
      <c r="J55" s="37">
        <f t="shared" si="3"/>
        <v>0.12156880216640062</v>
      </c>
    </row>
    <row r="56" spans="3:10" x14ac:dyDescent="0.15">
      <c r="C56" s="6" t="str">
        <f t="shared" si="10"/>
        <v xml:space="preserve"> </v>
      </c>
      <c r="D56" s="41" t="str">
        <f t="shared" si="11"/>
        <v xml:space="preserve"> </v>
      </c>
      <c r="E56" s="13" t="str">
        <f t="shared" si="12"/>
        <v xml:space="preserve"> </v>
      </c>
      <c r="F56" s="30" t="str">
        <f t="shared" si="6"/>
        <v xml:space="preserve"> </v>
      </c>
      <c r="G56" s="30" t="str">
        <f t="shared" si="7"/>
        <v/>
      </c>
      <c r="H56" s="31" t="str">
        <f t="shared" si="2"/>
        <v/>
      </c>
      <c r="I56" s="32" t="str">
        <f t="shared" si="9"/>
        <v/>
      </c>
      <c r="J56" s="37">
        <f t="shared" si="3"/>
        <v>0.12156880216640062</v>
      </c>
    </row>
    <row r="57" spans="3:10" x14ac:dyDescent="0.15">
      <c r="C57" s="6" t="str">
        <f t="shared" si="10"/>
        <v xml:space="preserve"> </v>
      </c>
      <c r="D57" s="41" t="str">
        <f t="shared" si="11"/>
        <v xml:space="preserve"> </v>
      </c>
      <c r="E57" s="13" t="str">
        <f t="shared" si="12"/>
        <v xml:space="preserve"> </v>
      </c>
      <c r="F57" s="30" t="str">
        <f t="shared" si="6"/>
        <v xml:space="preserve"> </v>
      </c>
      <c r="G57" s="30" t="str">
        <f t="shared" si="7"/>
        <v/>
      </c>
      <c r="H57" s="31" t="str">
        <f t="shared" si="2"/>
        <v/>
      </c>
      <c r="I57" s="32" t="str">
        <f t="shared" si="9"/>
        <v/>
      </c>
      <c r="J57" s="37">
        <f t="shared" si="3"/>
        <v>0.12156880216640062</v>
      </c>
    </row>
    <row r="58" spans="3:10" x14ac:dyDescent="0.15">
      <c r="C58" s="6" t="str">
        <f t="shared" si="10"/>
        <v xml:space="preserve"> </v>
      </c>
      <c r="D58" s="41" t="str">
        <f t="shared" si="11"/>
        <v xml:space="preserve"> </v>
      </c>
      <c r="E58" s="13" t="str">
        <f t="shared" si="12"/>
        <v xml:space="preserve"> </v>
      </c>
      <c r="F58" s="30" t="str">
        <f t="shared" si="6"/>
        <v xml:space="preserve"> </v>
      </c>
      <c r="G58" s="30" t="str">
        <f t="shared" si="7"/>
        <v/>
      </c>
      <c r="H58" s="31" t="str">
        <f t="shared" si="2"/>
        <v/>
      </c>
      <c r="I58" s="32" t="str">
        <f t="shared" si="9"/>
        <v/>
      </c>
      <c r="J58" s="37">
        <f t="shared" si="3"/>
        <v>0.12156880216640062</v>
      </c>
    </row>
    <row r="60" spans="3:10" ht="14.25" x14ac:dyDescent="0.2">
      <c r="F60" t="s">
        <v>100</v>
      </c>
      <c r="G60" s="38">
        <f>SUM(G12:G58)</f>
        <v>20.42227893183729</v>
      </c>
    </row>
    <row r="61" spans="3:10" ht="14.25" x14ac:dyDescent="0.2">
      <c r="F61" t="s">
        <v>101</v>
      </c>
      <c r="G61" s="38">
        <f>(tmax-full_sel_age+1)*target_M</f>
        <v>4.4800000000000004</v>
      </c>
      <c r="I61" s="39">
        <f>SUMPRODUCT(I12:I58,H12:H58)/SUM(I12:I58)</f>
        <v>0.12156880216640062</v>
      </c>
    </row>
  </sheetData>
  <phoneticPr fontId="37"/>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1"/>
  <sheetViews>
    <sheetView zoomScale="70" zoomScaleNormal="70" workbookViewId="0">
      <selection activeCell="I4" sqref="I3:I4"/>
    </sheetView>
  </sheetViews>
  <sheetFormatPr defaultRowHeight="13.5" x14ac:dyDescent="0.15"/>
  <cols>
    <col min="2" max="2" width="52.375" customWidth="1"/>
    <col min="3" max="8" width="12.75" customWidth="1"/>
    <col min="9" max="9" width="16.75" customWidth="1"/>
    <col min="10" max="10" width="12.75" style="4" customWidth="1"/>
    <col min="13" max="13" width="14.125" customWidth="1"/>
    <col min="14" max="14" width="14.125" style="44" customWidth="1"/>
    <col min="15" max="15" width="17.875" customWidth="1"/>
  </cols>
  <sheetData>
    <row r="1" spans="1:24" ht="14.25" x14ac:dyDescent="0.2">
      <c r="A1" t="s">
        <v>155</v>
      </c>
      <c r="C1" s="2" t="s">
        <v>16</v>
      </c>
      <c r="D1" s="2"/>
      <c r="E1" s="2"/>
      <c r="G1" s="3" t="s">
        <v>17</v>
      </c>
      <c r="H1" s="3" t="s">
        <v>1</v>
      </c>
      <c r="I1" s="157">
        <v>3.5080100000000003E-5</v>
      </c>
      <c r="J1" s="42"/>
      <c r="K1" s="5" t="s">
        <v>18</v>
      </c>
      <c r="L1" s="6"/>
      <c r="M1" s="5">
        <v>35</v>
      </c>
      <c r="N1" s="43"/>
    </row>
    <row r="2" spans="1:24" ht="14.25" x14ac:dyDescent="0.2">
      <c r="A2" t="s">
        <v>153</v>
      </c>
      <c r="C2" s="8" t="s">
        <v>19</v>
      </c>
      <c r="D2" s="8"/>
      <c r="E2" s="11">
        <v>3</v>
      </c>
      <c r="F2" s="9"/>
      <c r="G2" s="10"/>
      <c r="H2" s="3" t="s">
        <v>2</v>
      </c>
      <c r="I2" s="157">
        <v>2.8784510000000001</v>
      </c>
      <c r="K2" s="5" t="s">
        <v>20</v>
      </c>
      <c r="L2" s="6"/>
      <c r="M2" s="5">
        <v>4</v>
      </c>
      <c r="N2" s="43"/>
    </row>
    <row r="3" spans="1:24" ht="14.25" x14ac:dyDescent="0.2">
      <c r="A3" t="s">
        <v>154</v>
      </c>
      <c r="C3" s="8" t="s">
        <v>21</v>
      </c>
      <c r="D3" s="8"/>
      <c r="E3" s="11">
        <v>-0.28799999999999998</v>
      </c>
      <c r="F3" s="7"/>
      <c r="G3" s="10"/>
      <c r="H3" s="3" t="s">
        <v>22</v>
      </c>
      <c r="I3" s="147">
        <v>318.89999999999998</v>
      </c>
      <c r="J3" t="s">
        <v>5</v>
      </c>
      <c r="K3" s="5" t="s">
        <v>23</v>
      </c>
      <c r="L3" s="6"/>
      <c r="M3" s="5">
        <v>35</v>
      </c>
      <c r="N3" s="43"/>
    </row>
    <row r="4" spans="1:24" ht="14.25" x14ac:dyDescent="0.2">
      <c r="A4" t="s">
        <v>151</v>
      </c>
      <c r="C4" s="8" t="s">
        <v>95</v>
      </c>
      <c r="D4" t="s">
        <v>5</v>
      </c>
      <c r="F4" s="7"/>
      <c r="G4" s="10"/>
      <c r="H4" s="3" t="s">
        <v>24</v>
      </c>
      <c r="I4" s="147">
        <v>0.09</v>
      </c>
      <c r="J4" t="s">
        <v>5</v>
      </c>
      <c r="K4" s="5" t="s">
        <v>15</v>
      </c>
      <c r="L4" s="6"/>
      <c r="M4" s="5">
        <v>0.5</v>
      </c>
      <c r="N4" s="43"/>
    </row>
    <row r="5" spans="1:24" ht="14.25" x14ac:dyDescent="0.2">
      <c r="A5" t="s">
        <v>152</v>
      </c>
      <c r="C5" s="11" t="s">
        <v>8</v>
      </c>
      <c r="D5" s="11" t="s">
        <v>140</v>
      </c>
      <c r="E5" s="12"/>
      <c r="F5" s="7"/>
      <c r="G5" s="10"/>
      <c r="H5" s="3" t="s">
        <v>7</v>
      </c>
      <c r="I5" s="147">
        <v>-0.65</v>
      </c>
      <c r="J5" t="s">
        <v>5</v>
      </c>
      <c r="K5" s="5"/>
      <c r="L5" s="6"/>
      <c r="M5" s="5"/>
      <c r="N5" s="43"/>
      <c r="O5" t="s">
        <v>5</v>
      </c>
    </row>
    <row r="6" spans="1:24" ht="14.25" x14ac:dyDescent="0.2">
      <c r="A6" t="s">
        <v>1</v>
      </c>
      <c r="C6" s="11" t="s">
        <v>5</v>
      </c>
      <c r="D6" s="11"/>
      <c r="E6" s="12"/>
      <c r="F6" s="7"/>
      <c r="G6" s="13"/>
      <c r="H6" s="3" t="s">
        <v>25</v>
      </c>
      <c r="I6" s="156">
        <f>160/365.25</f>
        <v>0.43805612594113619</v>
      </c>
      <c r="L6" s="15" t="s">
        <v>139</v>
      </c>
      <c r="M6" s="40">
        <f>4.899*tmax^-0.916</f>
        <v>0.18868662257633637</v>
      </c>
      <c r="N6" s="14" t="s">
        <v>37</v>
      </c>
      <c r="O6" s="40">
        <f>4.899*tmax^-0.916</f>
        <v>0.18868662257633637</v>
      </c>
      <c r="P6" t="s">
        <v>5</v>
      </c>
      <c r="Q6" t="s">
        <v>5</v>
      </c>
    </row>
    <row r="7" spans="1:24" ht="14.25" x14ac:dyDescent="0.2">
      <c r="A7" t="s">
        <v>150</v>
      </c>
      <c r="C7" s="11" t="s">
        <v>148</v>
      </c>
      <c r="D7" s="11" t="s">
        <v>5</v>
      </c>
      <c r="E7" s="12"/>
      <c r="F7" s="7">
        <f>cum_L</f>
        <v>20.165382166225747</v>
      </c>
      <c r="G7" t="s">
        <v>5</v>
      </c>
      <c r="H7" s="155" t="s">
        <v>150</v>
      </c>
      <c r="I7" s="147" t="s">
        <v>149</v>
      </c>
      <c r="N7" s="14" t="s">
        <v>5</v>
      </c>
      <c r="O7" t="s">
        <v>158</v>
      </c>
      <c r="P7">
        <f>EXP(1.46+-1.01*LN(tmax))</f>
        <v>0.11873020530810875</v>
      </c>
    </row>
    <row r="8" spans="1:24" ht="14.25" x14ac:dyDescent="0.2">
      <c r="C8" s="11"/>
      <c r="D8" s="11" t="s">
        <v>5</v>
      </c>
      <c r="E8" s="12"/>
      <c r="F8" s="7"/>
      <c r="K8" s="1" t="s">
        <v>26</v>
      </c>
      <c r="L8" s="1"/>
      <c r="M8" s="16">
        <f>M6</f>
        <v>0.18868662257633637</v>
      </c>
    </row>
    <row r="9" spans="1:24" ht="14.25" x14ac:dyDescent="0.2">
      <c r="C9" s="17"/>
      <c r="D9" s="17"/>
      <c r="E9" s="18"/>
      <c r="F9" s="19" t="s">
        <v>8</v>
      </c>
      <c r="G9" s="20" t="s">
        <v>27</v>
      </c>
      <c r="H9" s="21"/>
      <c r="I9" s="22" t="s">
        <v>28</v>
      </c>
      <c r="J9" s="23" t="s">
        <v>29</v>
      </c>
      <c r="L9" s="82"/>
      <c r="M9" s="82"/>
      <c r="N9" s="82"/>
      <c r="O9" s="112"/>
    </row>
    <row r="10" spans="1:24" ht="14.25" x14ac:dyDescent="0.2">
      <c r="C10" s="24" t="s">
        <v>30</v>
      </c>
      <c r="D10" s="24"/>
      <c r="E10" s="25" t="s">
        <v>31</v>
      </c>
      <c r="F10" s="26" t="s">
        <v>32</v>
      </c>
      <c r="G10" s="26" t="s">
        <v>33</v>
      </c>
      <c r="H10" s="27" t="s">
        <v>34</v>
      </c>
      <c r="I10" s="28" t="s">
        <v>35</v>
      </c>
      <c r="J10" s="29" t="s">
        <v>36</v>
      </c>
      <c r="L10" s="82"/>
      <c r="M10" s="82"/>
      <c r="N10" s="103"/>
      <c r="O10" s="82"/>
    </row>
    <row r="11" spans="1:24" ht="15" thickBot="1" x14ac:dyDescent="0.25">
      <c r="C11" s="138"/>
      <c r="D11" s="138"/>
      <c r="E11" s="139"/>
      <c r="F11" s="19" t="s">
        <v>136</v>
      </c>
      <c r="G11" s="19" t="s">
        <v>138</v>
      </c>
      <c r="H11" s="140" t="s">
        <v>137</v>
      </c>
      <c r="I11" s="141"/>
      <c r="J11" s="29"/>
      <c r="L11" s="82"/>
      <c r="M11" s="82"/>
      <c r="N11" s="103"/>
      <c r="O11" s="82"/>
      <c r="W11" t="s">
        <v>156</v>
      </c>
      <c r="X11" t="s">
        <v>157</v>
      </c>
    </row>
    <row r="12" spans="1:24" x14ac:dyDescent="0.15">
      <c r="C12" s="6">
        <v>0</v>
      </c>
      <c r="D12" s="152">
        <f t="shared" ref="D12:D47" si="0">IF(C12&gt;tmax," ",linf*(1-EXP(-k*(C12-t0+offset-shift))))</f>
        <v>19.792624188357422</v>
      </c>
      <c r="E12" s="13">
        <f t="shared" ref="E12:E58" si="1">IF(C12&gt;tmax," ",a*(D12)^b)</f>
        <v>0.18922663626112482</v>
      </c>
      <c r="F12" s="30">
        <f>IF(C12&gt;tmax," ",alpha*E12^beta)</f>
        <v>4.8456312464453237</v>
      </c>
      <c r="G12" s="30" t="str">
        <f>IF(OR(C12&lt;full_sel_age,C12&gt;tmax),"",F12)</f>
        <v/>
      </c>
      <c r="H12" s="31">
        <f t="shared" ref="H12:H58" si="2">IF(C12&gt;tmax,"",F12*cum_M/cum_L)</f>
        <v>1.4508916900940751</v>
      </c>
      <c r="I12" s="32" t="str">
        <f>IF(OR(C12&lt;plus_age,C12&gt;tmax),"",IF(C12=plus_age,1,I10*EXP(-H10)))</f>
        <v/>
      </c>
      <c r="J12" s="33">
        <f t="shared" ref="J12:J58" si="3">IF(C12&lt;plus_age,H12,plus_m)</f>
        <v>1.4508916900940751</v>
      </c>
      <c r="K12" t="str">
        <f t="shared" ref="K12:K23" si="4">IF(C12&gt;=full_sel_age,J12,"")</f>
        <v/>
      </c>
      <c r="L12" s="82"/>
      <c r="M12" s="153"/>
      <c r="N12" s="153"/>
      <c r="O12" s="9"/>
      <c r="W12">
        <v>0.14000000000000001</v>
      </c>
    </row>
    <row r="13" spans="1:24" x14ac:dyDescent="0.15">
      <c r="C13" s="6">
        <f t="shared" ref="C13:C38" si="5">IF(C12&lt;tmax,C12+1," ")</f>
        <v>1</v>
      </c>
      <c r="D13" s="152">
        <f t="shared" si="0"/>
        <v>45.536441501098807</v>
      </c>
      <c r="E13" s="13">
        <f>IF(C13&gt;tmax," ",a*(D13)^b)</f>
        <v>2.0824098110095028</v>
      </c>
      <c r="F13" s="30">
        <f t="shared" ref="F13:F58" si="6">IF(C13&gt;tmax," ",alpha*E13^beta)</f>
        <v>2.4287017668807271</v>
      </c>
      <c r="G13" s="30" t="str">
        <f t="shared" ref="G13:G58" si="7">IF(OR(C13&lt;full_sel_age,C13&gt;tmax),"",F13)</f>
        <v/>
      </c>
      <c r="H13" s="31">
        <f t="shared" si="2"/>
        <v>0.72720828970818496</v>
      </c>
      <c r="I13" s="32" t="str">
        <f t="shared" ref="I13:I30" si="8">IF(OR(C13&lt;plus_age,C13&gt;tmax),"",IF(C13=plus_age,1,I12*EXP(-H12)))</f>
        <v/>
      </c>
      <c r="J13" s="35">
        <f t="shared" si="3"/>
        <v>0.72720828970818496</v>
      </c>
      <c r="K13" t="str">
        <f t="shared" si="4"/>
        <v/>
      </c>
      <c r="L13" s="82"/>
      <c r="M13" s="153"/>
      <c r="N13" s="153"/>
      <c r="O13" s="9"/>
      <c r="P13" t="s">
        <v>5</v>
      </c>
      <c r="Q13" t="s">
        <v>5</v>
      </c>
      <c r="V13">
        <v>1</v>
      </c>
      <c r="W13">
        <v>0.14000000000000001</v>
      </c>
      <c r="X13">
        <v>0.49</v>
      </c>
    </row>
    <row r="14" spans="1:24" x14ac:dyDescent="0.15">
      <c r="C14" s="6">
        <f t="shared" si="5"/>
        <v>2</v>
      </c>
      <c r="D14" s="152">
        <f t="shared" si="0"/>
        <v>69.064518971138526</v>
      </c>
      <c r="E14" s="13">
        <f t="shared" si="1"/>
        <v>6.9066300163568624</v>
      </c>
      <c r="F14" s="30">
        <f t="shared" si="6"/>
        <v>1.7195412220421118</v>
      </c>
      <c r="G14" s="30" t="str">
        <f t="shared" si="7"/>
        <v/>
      </c>
      <c r="H14" s="31">
        <f t="shared" si="2"/>
        <v>0.51486956867906641</v>
      </c>
      <c r="I14" s="32" t="str">
        <f t="shared" si="8"/>
        <v/>
      </c>
      <c r="J14" s="35">
        <f t="shared" si="3"/>
        <v>0.51486956867906641</v>
      </c>
      <c r="K14" t="str">
        <f t="shared" si="4"/>
        <v/>
      </c>
      <c r="L14" s="82"/>
      <c r="M14" s="153"/>
      <c r="N14" s="153"/>
      <c r="O14" s="9"/>
      <c r="P14" t="s">
        <v>5</v>
      </c>
      <c r="Q14" t="s">
        <v>5</v>
      </c>
      <c r="V14">
        <v>2</v>
      </c>
      <c r="W14">
        <v>0.14000000000000001</v>
      </c>
      <c r="X14">
        <v>0.24</v>
      </c>
    </row>
    <row r="15" spans="1:24" x14ac:dyDescent="0.15">
      <c r="C15" s="6">
        <f t="shared" si="5"/>
        <v>3</v>
      </c>
      <c r="D15" s="152">
        <f t="shared" si="0"/>
        <v>90.567562700485198</v>
      </c>
      <c r="E15" s="13">
        <f t="shared" si="1"/>
        <v>15.069914615579213</v>
      </c>
      <c r="F15" s="30">
        <f t="shared" si="6"/>
        <v>1.3734895095844644</v>
      </c>
      <c r="G15" s="30" t="str">
        <f t="shared" si="7"/>
        <v/>
      </c>
      <c r="H15" s="31">
        <f t="shared" si="2"/>
        <v>0.41125385208570298</v>
      </c>
      <c r="I15" s="32" t="str">
        <f t="shared" si="8"/>
        <v/>
      </c>
      <c r="J15" s="35">
        <f t="shared" si="3"/>
        <v>0.41125385208570298</v>
      </c>
      <c r="K15" s="101" t="str">
        <f t="shared" si="4"/>
        <v/>
      </c>
      <c r="L15" s="82"/>
      <c r="M15" s="153"/>
      <c r="N15" s="153"/>
      <c r="O15" s="9"/>
      <c r="V15">
        <v>3</v>
      </c>
      <c r="W15">
        <v>0.14000000000000001</v>
      </c>
      <c r="X15">
        <v>0.24</v>
      </c>
    </row>
    <row r="16" spans="1:24" x14ac:dyDescent="0.15">
      <c r="C16" s="6">
        <f t="shared" si="5"/>
        <v>4</v>
      </c>
      <c r="D16" s="152">
        <f t="shared" si="0"/>
        <v>110.21986494298604</v>
      </c>
      <c r="E16" s="13">
        <f t="shared" si="1"/>
        <v>26.521971302706664</v>
      </c>
      <c r="F16" s="30">
        <f t="shared" si="6"/>
        <v>1.1671395450569102</v>
      </c>
      <c r="G16" s="30">
        <f t="shared" si="7"/>
        <v>1.1671395450569102</v>
      </c>
      <c r="H16" s="31">
        <f t="shared" si="2"/>
        <v>0.3494680013766</v>
      </c>
      <c r="I16" s="32" t="str">
        <f t="shared" si="8"/>
        <v/>
      </c>
      <c r="J16" s="35">
        <f t="shared" si="3"/>
        <v>0.3494680013766</v>
      </c>
      <c r="K16" s="101">
        <f t="shared" si="4"/>
        <v>0.3494680013766</v>
      </c>
      <c r="L16" s="82"/>
      <c r="M16" s="153"/>
      <c r="N16" s="153"/>
      <c r="O16" s="9"/>
      <c r="V16">
        <v>4</v>
      </c>
      <c r="W16">
        <v>0.14000000000000001</v>
      </c>
      <c r="X16">
        <v>0.24</v>
      </c>
    </row>
    <row r="17" spans="3:24" x14ac:dyDescent="0.15">
      <c r="C17" s="6">
        <f t="shared" si="5"/>
        <v>5</v>
      </c>
      <c r="D17" s="152">
        <f t="shared" si="0"/>
        <v>128.18071682478325</v>
      </c>
      <c r="E17" s="13">
        <f t="shared" si="1"/>
        <v>40.956720058704803</v>
      </c>
      <c r="F17" s="30">
        <f t="shared" si="6"/>
        <v>1.0298443859526059</v>
      </c>
      <c r="G17" s="30">
        <f t="shared" si="7"/>
        <v>1.0298443859526059</v>
      </c>
      <c r="H17" s="31">
        <f t="shared" si="2"/>
        <v>0.3083587226668944</v>
      </c>
      <c r="I17" s="32" t="str">
        <f t="shared" si="8"/>
        <v/>
      </c>
      <c r="J17" s="35">
        <f t="shared" si="3"/>
        <v>0.3083587226668944</v>
      </c>
      <c r="K17" s="101">
        <f t="shared" si="4"/>
        <v>0.3083587226668944</v>
      </c>
      <c r="L17" s="82"/>
      <c r="M17" s="153"/>
      <c r="N17" s="153"/>
      <c r="O17" s="9"/>
      <c r="V17">
        <v>5</v>
      </c>
      <c r="W17">
        <v>0.14000000000000001</v>
      </c>
      <c r="X17">
        <v>0.24</v>
      </c>
    </row>
    <row r="18" spans="3:24" x14ac:dyDescent="0.15">
      <c r="C18" s="6">
        <f t="shared" si="5"/>
        <v>6</v>
      </c>
      <c r="D18" s="152">
        <f t="shared" si="0"/>
        <v>144.59569947359515</v>
      </c>
      <c r="E18" s="13">
        <f t="shared" si="1"/>
        <v>57.937830154456933</v>
      </c>
      <c r="F18" s="30">
        <f t="shared" si="6"/>
        <v>0.93194038833018056</v>
      </c>
      <c r="G18" s="30">
        <f t="shared" si="7"/>
        <v>0.93194038833018056</v>
      </c>
      <c r="H18" s="31">
        <f t="shared" si="2"/>
        <v>0.27904404943797895</v>
      </c>
      <c r="I18" s="32" t="str">
        <f t="shared" si="8"/>
        <v/>
      </c>
      <c r="J18" s="35">
        <f t="shared" si="3"/>
        <v>0.27904404943797895</v>
      </c>
      <c r="K18" s="101">
        <f t="shared" si="4"/>
        <v>0.27904404943797895</v>
      </c>
      <c r="L18" s="82"/>
      <c r="M18" s="153"/>
      <c r="N18" s="153"/>
      <c r="O18" s="9"/>
      <c r="V18">
        <v>6</v>
      </c>
      <c r="W18">
        <v>0.14000000000000001</v>
      </c>
      <c r="X18">
        <v>0.2</v>
      </c>
    </row>
    <row r="19" spans="3:24" x14ac:dyDescent="0.15">
      <c r="C19" s="6">
        <f t="shared" si="5"/>
        <v>7</v>
      </c>
      <c r="D19" s="152">
        <f t="shared" si="0"/>
        <v>159.59786402203042</v>
      </c>
      <c r="E19" s="13">
        <f t="shared" si="1"/>
        <v>76.977944258917375</v>
      </c>
      <c r="F19" s="30">
        <f t="shared" si="6"/>
        <v>0.85871244651336964</v>
      </c>
      <c r="G19" s="30">
        <f t="shared" si="7"/>
        <v>0.85871244651336964</v>
      </c>
      <c r="H19" s="31">
        <f t="shared" si="2"/>
        <v>0.25711794593131121</v>
      </c>
      <c r="I19" s="32" t="str">
        <f t="shared" si="8"/>
        <v/>
      </c>
      <c r="J19" s="35">
        <f t="shared" si="3"/>
        <v>0.25711794593131121</v>
      </c>
      <c r="K19" s="101">
        <f t="shared" si="4"/>
        <v>0.25711794593131121</v>
      </c>
      <c r="L19" s="82"/>
      <c r="M19" s="153"/>
      <c r="N19" s="153"/>
      <c r="O19" s="9"/>
      <c r="V19">
        <v>7</v>
      </c>
      <c r="W19">
        <v>0.14000000000000001</v>
      </c>
      <c r="X19">
        <v>0.17499999999999999</v>
      </c>
    </row>
    <row r="20" spans="3:24" x14ac:dyDescent="0.15">
      <c r="C20" s="6">
        <f t="shared" si="5"/>
        <v>8</v>
      </c>
      <c r="D20" s="152">
        <f t="shared" si="0"/>
        <v>173.30881004941588</v>
      </c>
      <c r="E20" s="13">
        <f t="shared" si="1"/>
        <v>97.587981189851362</v>
      </c>
      <c r="F20" s="30">
        <f t="shared" si="6"/>
        <v>0.8020013707830298</v>
      </c>
      <c r="G20" s="30">
        <f t="shared" si="7"/>
        <v>0.8020013707830298</v>
      </c>
      <c r="H20" s="31">
        <f t="shared" si="2"/>
        <v>0.24013736603807104</v>
      </c>
      <c r="I20" s="32" t="str">
        <f t="shared" si="8"/>
        <v/>
      </c>
      <c r="J20" s="35">
        <f t="shared" si="3"/>
        <v>0.24013736603807104</v>
      </c>
      <c r="K20" s="101">
        <f t="shared" si="4"/>
        <v>0.24013736603807104</v>
      </c>
      <c r="L20" s="82"/>
      <c r="M20" s="153"/>
      <c r="N20" s="153"/>
      <c r="O20" s="9"/>
      <c r="V20">
        <v>8</v>
      </c>
      <c r="W20">
        <v>0.14000000000000001</v>
      </c>
      <c r="X20">
        <v>0.15</v>
      </c>
    </row>
    <row r="21" spans="3:24" x14ac:dyDescent="0.15">
      <c r="C21" s="6">
        <f t="shared" si="5"/>
        <v>9</v>
      </c>
      <c r="D21" s="152">
        <f t="shared" si="0"/>
        <v>185.83967120341418</v>
      </c>
      <c r="E21" s="13">
        <f t="shared" si="1"/>
        <v>119.30663619789907</v>
      </c>
      <c r="F21" s="30">
        <f t="shared" si="6"/>
        <v>0.7569058286610062</v>
      </c>
      <c r="G21" s="30">
        <f t="shared" si="7"/>
        <v>0.7569058286610062</v>
      </c>
      <c r="H21" s="31">
        <f t="shared" si="2"/>
        <v>0.22663473985843163</v>
      </c>
      <c r="I21" s="32" t="str">
        <f t="shared" si="8"/>
        <v/>
      </c>
      <c r="J21" s="35">
        <f t="shared" si="3"/>
        <v>0.22663473985843163</v>
      </c>
      <c r="K21" s="101">
        <f t="shared" si="4"/>
        <v>0.22663473985843163</v>
      </c>
      <c r="L21" s="82"/>
      <c r="M21" s="153"/>
      <c r="N21" s="153"/>
      <c r="O21" s="9"/>
      <c r="P21" s="82"/>
      <c r="V21">
        <v>9</v>
      </c>
      <c r="W21">
        <v>0.14000000000000001</v>
      </c>
      <c r="X21">
        <v>0.125</v>
      </c>
    </row>
    <row r="22" spans="3:24" x14ac:dyDescent="0.15">
      <c r="C22" s="6">
        <f t="shared" si="5"/>
        <v>10</v>
      </c>
      <c r="D22" s="152">
        <f t="shared" si="0"/>
        <v>197.29201599035696</v>
      </c>
      <c r="E22" s="13">
        <f t="shared" si="1"/>
        <v>141.71671883425617</v>
      </c>
      <c r="F22" s="30">
        <f t="shared" si="6"/>
        <v>0.72029762236535366</v>
      </c>
      <c r="G22" s="30">
        <f t="shared" si="7"/>
        <v>0.72029762236535366</v>
      </c>
      <c r="H22" s="31">
        <f t="shared" si="2"/>
        <v>0.21567341416065472</v>
      </c>
      <c r="I22" s="32" t="str">
        <f t="shared" si="8"/>
        <v/>
      </c>
      <c r="J22" s="35">
        <f t="shared" si="3"/>
        <v>0.21567341416065472</v>
      </c>
      <c r="K22" s="101">
        <f t="shared" si="4"/>
        <v>0.21567341416065472</v>
      </c>
      <c r="L22" s="82"/>
      <c r="M22" s="153"/>
      <c r="N22" s="153"/>
      <c r="O22" s="9"/>
      <c r="P22" s="82"/>
      <c r="V22">
        <v>10</v>
      </c>
      <c r="W22">
        <v>0.14000000000000001</v>
      </c>
      <c r="X22">
        <v>0.1</v>
      </c>
    </row>
    <row r="23" spans="3:24" x14ac:dyDescent="0.15">
      <c r="C23" s="6">
        <f t="shared" si="5"/>
        <v>11</v>
      </c>
      <c r="D23" s="152">
        <f t="shared" si="0"/>
        <v>207.7586710356224</v>
      </c>
      <c r="E23" s="13">
        <f t="shared" si="1"/>
        <v>164.45281062426457</v>
      </c>
      <c r="F23" s="30">
        <f t="shared" si="6"/>
        <v>0.69008304991851144</v>
      </c>
      <c r="G23" s="30">
        <f t="shared" si="7"/>
        <v>0.69008304991851144</v>
      </c>
      <c r="H23" s="31">
        <f t="shared" si="2"/>
        <v>0.20662648717564575</v>
      </c>
      <c r="I23" s="32" t="str">
        <f t="shared" si="8"/>
        <v/>
      </c>
      <c r="J23" s="35">
        <f t="shared" si="3"/>
        <v>0.20662648717564575</v>
      </c>
      <c r="K23" s="101">
        <f t="shared" si="4"/>
        <v>0.20662648717564575</v>
      </c>
      <c r="L23" s="9"/>
      <c r="M23" s="153"/>
      <c r="N23" s="153"/>
      <c r="O23" s="154"/>
      <c r="P23" s="82"/>
      <c r="V23">
        <v>11</v>
      </c>
      <c r="W23">
        <v>0.14000000000000001</v>
      </c>
      <c r="X23">
        <v>0.1</v>
      </c>
    </row>
    <row r="24" spans="3:24" x14ac:dyDescent="0.15">
      <c r="C24" s="6">
        <f t="shared" si="5"/>
        <v>12</v>
      </c>
      <c r="D24" s="152">
        <f t="shared" si="0"/>
        <v>217.32447348696684</v>
      </c>
      <c r="E24" s="13">
        <f t="shared" si="1"/>
        <v>187.20330574053128</v>
      </c>
      <c r="F24" s="30">
        <f t="shared" si="6"/>
        <v>0.66480604967742574</v>
      </c>
      <c r="G24" s="30">
        <f t="shared" si="7"/>
        <v>0.66480604967742574</v>
      </c>
      <c r="H24" s="31">
        <f t="shared" si="2"/>
        <v>0.19905798108529876</v>
      </c>
      <c r="I24" s="32" t="str">
        <f t="shared" si="8"/>
        <v/>
      </c>
      <c r="J24" s="35">
        <f t="shared" si="3"/>
        <v>0.19905798108529876</v>
      </c>
      <c r="L24" s="9"/>
      <c r="M24" s="9"/>
      <c r="N24" s="104"/>
      <c r="O24" s="9"/>
      <c r="P24" s="82"/>
      <c r="V24">
        <v>12</v>
      </c>
      <c r="W24">
        <v>0.14000000000000001</v>
      </c>
      <c r="X24">
        <v>0.1</v>
      </c>
    </row>
    <row r="25" spans="3:24" x14ac:dyDescent="0.15">
      <c r="C25" s="6">
        <f t="shared" si="5"/>
        <v>13</v>
      </c>
      <c r="D25" s="152">
        <f t="shared" si="0"/>
        <v>226.06695865939457</v>
      </c>
      <c r="E25" s="13">
        <f t="shared" si="1"/>
        <v>209.7089343943567</v>
      </c>
      <c r="F25" s="30">
        <f t="shared" si="6"/>
        <v>0.64342151345291509</v>
      </c>
      <c r="G25" s="30">
        <f t="shared" si="7"/>
        <v>0.64342151345291509</v>
      </c>
      <c r="H25" s="31">
        <f t="shared" si="2"/>
        <v>0.19265496683871969</v>
      </c>
      <c r="I25" s="32" t="str">
        <f t="shared" si="8"/>
        <v/>
      </c>
      <c r="J25" s="35">
        <f t="shared" si="3"/>
        <v>0.19265496683871969</v>
      </c>
      <c r="L25" s="9"/>
      <c r="M25" s="9"/>
      <c r="N25" s="104"/>
      <c r="O25" s="82"/>
      <c r="P25" s="82"/>
      <c r="V25">
        <v>13</v>
      </c>
      <c r="W25">
        <v>0.14000000000000001</v>
      </c>
      <c r="X25">
        <v>0.1</v>
      </c>
    </row>
    <row r="26" spans="3:24" x14ac:dyDescent="0.15">
      <c r="C26" s="6">
        <f t="shared" si="5"/>
        <v>14</v>
      </c>
      <c r="D26" s="152">
        <f t="shared" si="0"/>
        <v>234.05698849524754</v>
      </c>
      <c r="E26" s="13">
        <f t="shared" si="1"/>
        <v>231.7592029311979</v>
      </c>
      <c r="F26" s="30">
        <f t="shared" si="6"/>
        <v>0.62515916439327657</v>
      </c>
      <c r="G26" s="30">
        <f t="shared" si="7"/>
        <v>0.62515916439327657</v>
      </c>
      <c r="H26" s="31">
        <f t="shared" si="2"/>
        <v>0.18718680610905944</v>
      </c>
      <c r="I26" s="32" t="str">
        <f t="shared" si="8"/>
        <v/>
      </c>
      <c r="J26" s="35">
        <f t="shared" si="3"/>
        <v>0.18718680610905944</v>
      </c>
      <c r="L26" s="9"/>
      <c r="M26" s="9"/>
      <c r="N26" s="104"/>
      <c r="O26" s="82"/>
      <c r="P26" s="82"/>
      <c r="V26">
        <v>14</v>
      </c>
      <c r="W26">
        <v>0.14000000000000001</v>
      </c>
      <c r="X26">
        <v>0.1</v>
      </c>
    </row>
    <row r="27" spans="3:24" x14ac:dyDescent="0.15">
      <c r="C27" s="6">
        <f t="shared" si="5"/>
        <v>15</v>
      </c>
      <c r="D27" s="152">
        <f t="shared" si="0"/>
        <v>241.3593259334811</v>
      </c>
      <c r="E27" s="13">
        <f t="shared" si="1"/>
        <v>253.18772049668178</v>
      </c>
      <c r="F27" s="30">
        <f t="shared" si="6"/>
        <v>0.60943834334227132</v>
      </c>
      <c r="G27" s="30">
        <f t="shared" si="7"/>
        <v>0.60943834334227132</v>
      </c>
      <c r="H27" s="31">
        <f t="shared" si="2"/>
        <v>0.18247963640003712</v>
      </c>
      <c r="I27" s="32" t="str">
        <f t="shared" si="8"/>
        <v/>
      </c>
      <c r="J27" s="35">
        <f t="shared" si="3"/>
        <v>0.18247963640003712</v>
      </c>
      <c r="L27" s="9"/>
      <c r="M27" s="9"/>
      <c r="N27" s="104"/>
      <c r="O27" s="82"/>
      <c r="P27" s="82"/>
      <c r="V27">
        <v>15</v>
      </c>
      <c r="W27">
        <v>0.14000000000000001</v>
      </c>
      <c r="X27">
        <v>0.1</v>
      </c>
    </row>
    <row r="28" spans="3:24" x14ac:dyDescent="0.15">
      <c r="C28" s="6">
        <f t="shared" si="5"/>
        <v>16</v>
      </c>
      <c r="D28" s="152">
        <f t="shared" si="0"/>
        <v>248.03315984365639</v>
      </c>
      <c r="E28" s="13">
        <f t="shared" si="1"/>
        <v>273.8670575446784</v>
      </c>
      <c r="F28" s="30">
        <f t="shared" si="6"/>
        <v>0.59581275131514866</v>
      </c>
      <c r="G28" s="30">
        <f t="shared" si="7"/>
        <v>0.59581275131514866</v>
      </c>
      <c r="H28" s="31">
        <f t="shared" si="2"/>
        <v>0.17839982569234722</v>
      </c>
      <c r="I28" s="32" t="str">
        <f t="shared" si="8"/>
        <v/>
      </c>
      <c r="J28" s="35">
        <f t="shared" si="3"/>
        <v>0.17839982569234722</v>
      </c>
      <c r="L28" s="9"/>
      <c r="M28" s="9"/>
      <c r="N28" s="104"/>
      <c r="O28" s="82"/>
      <c r="P28" s="82"/>
      <c r="V28">
        <v>16</v>
      </c>
      <c r="W28">
        <v>0.14000000000000001</v>
      </c>
      <c r="X28">
        <v>0.1</v>
      </c>
    </row>
    <row r="29" spans="3:24" x14ac:dyDescent="0.15">
      <c r="C29" s="6">
        <f t="shared" si="5"/>
        <v>17</v>
      </c>
      <c r="D29" s="152">
        <f t="shared" si="0"/>
        <v>254.13258477948622</v>
      </c>
      <c r="E29" s="13">
        <f t="shared" si="1"/>
        <v>293.70355470406696</v>
      </c>
      <c r="F29" s="30">
        <f t="shared" si="6"/>
        <v>0.58393351755942724</v>
      </c>
      <c r="G29" s="30">
        <f t="shared" si="7"/>
        <v>0.58393351755942724</v>
      </c>
      <c r="H29" s="31">
        <f t="shared" si="2"/>
        <v>0.17484291418499617</v>
      </c>
      <c r="I29" s="32" t="str">
        <f t="shared" si="8"/>
        <v/>
      </c>
      <c r="J29" s="35">
        <f t="shared" si="3"/>
        <v>0.17484291418499617</v>
      </c>
      <c r="L29" s="9"/>
      <c r="M29" s="9"/>
      <c r="N29" s="104"/>
      <c r="O29" s="82"/>
      <c r="P29" s="82"/>
      <c r="V29">
        <v>17</v>
      </c>
      <c r="W29">
        <v>0.14000000000000001</v>
      </c>
      <c r="X29">
        <v>0.1</v>
      </c>
    </row>
    <row r="30" spans="3:24" x14ac:dyDescent="0.15">
      <c r="C30" s="6">
        <f t="shared" si="5"/>
        <v>18</v>
      </c>
      <c r="D30" s="152">
        <f t="shared" si="0"/>
        <v>259.70703944056208</v>
      </c>
      <c r="E30" s="13">
        <f t="shared" si="1"/>
        <v>312.63234289606839</v>
      </c>
      <c r="F30" s="30">
        <f t="shared" si="6"/>
        <v>0.57352385956681007</v>
      </c>
      <c r="G30" s="30">
        <f t="shared" si="7"/>
        <v>0.57352385956681007</v>
      </c>
      <c r="H30" s="31">
        <f t="shared" si="2"/>
        <v>0.17172602692922548</v>
      </c>
      <c r="I30" s="32" t="str">
        <f t="shared" si="8"/>
        <v/>
      </c>
      <c r="J30" s="35">
        <f t="shared" si="3"/>
        <v>0.17172602692922548</v>
      </c>
      <c r="L30" s="9"/>
      <c r="M30" s="9"/>
      <c r="N30" s="104"/>
      <c r="O30" s="82"/>
      <c r="P30" s="82"/>
      <c r="V30">
        <v>18</v>
      </c>
      <c r="W30">
        <v>0.14000000000000001</v>
      </c>
      <c r="X30">
        <v>0.1</v>
      </c>
    </row>
    <row r="31" spans="3:24" x14ac:dyDescent="0.15">
      <c r="C31" s="6">
        <f t="shared" si="5"/>
        <v>19</v>
      </c>
      <c r="D31" s="152">
        <f t="shared" si="0"/>
        <v>264.80170739619979</v>
      </c>
      <c r="E31" s="13">
        <f t="shared" si="1"/>
        <v>330.61272698780385</v>
      </c>
      <c r="F31" s="30">
        <f t="shared" si="6"/>
        <v>0.56436129221439257</v>
      </c>
      <c r="G31" s="30">
        <f t="shared" si="7"/>
        <v>0.56436129221439257</v>
      </c>
      <c r="H31" s="31">
        <f t="shared" si="2"/>
        <v>0.16898254684264191</v>
      </c>
      <c r="I31" s="32" t="str">
        <f t="shared" ref="I31:I58" si="9">IF(OR(C31&lt;plus_age,C31&gt;tmax),"",IF(C31=plus_age,1,I30*EXP(-H30-F)))</f>
        <v/>
      </c>
      <c r="J31" s="35">
        <f t="shared" si="3"/>
        <v>0.16898254684264191</v>
      </c>
      <c r="L31" s="9"/>
      <c r="M31" s="9"/>
      <c r="N31" s="104"/>
      <c r="O31" s="82"/>
      <c r="P31" s="82"/>
      <c r="V31">
        <v>19</v>
      </c>
      <c r="W31">
        <v>0.14000000000000001</v>
      </c>
      <c r="X31">
        <v>0.1</v>
      </c>
    </row>
    <row r="32" spans="3:24" x14ac:dyDescent="0.15">
      <c r="C32" s="6">
        <f t="shared" si="5"/>
        <v>20</v>
      </c>
      <c r="D32" s="152">
        <f t="shared" si="0"/>
        <v>269.4578833194592</v>
      </c>
      <c r="E32" s="13">
        <f t="shared" si="1"/>
        <v>347.6240114348069</v>
      </c>
      <c r="F32" s="30">
        <f t="shared" si="6"/>
        <v>0.55626488053225198</v>
      </c>
      <c r="G32" s="30">
        <f t="shared" si="7"/>
        <v>0.55626488053225198</v>
      </c>
      <c r="H32" s="31">
        <f t="shared" si="2"/>
        <v>0.16655829789926313</v>
      </c>
      <c r="I32" s="32" t="str">
        <f t="shared" si="9"/>
        <v/>
      </c>
      <c r="J32" s="35">
        <f t="shared" si="3"/>
        <v>0.16655829789926313</v>
      </c>
      <c r="L32" s="9"/>
      <c r="M32" s="9"/>
      <c r="N32" s="104"/>
      <c r="O32" s="82"/>
      <c r="P32" s="82"/>
      <c r="V32">
        <v>20</v>
      </c>
      <c r="W32">
        <v>0.14000000000000001</v>
      </c>
      <c r="X32">
        <v>0.1</v>
      </c>
    </row>
    <row r="33" spans="3:24" x14ac:dyDescent="0.15">
      <c r="C33" s="6">
        <f t="shared" si="5"/>
        <v>21</v>
      </c>
      <c r="D33" s="152">
        <f t="shared" si="0"/>
        <v>273.71330769983496</v>
      </c>
      <c r="E33" s="13">
        <f t="shared" si="1"/>
        <v>363.66179714561241</v>
      </c>
      <c r="F33" s="30">
        <f t="shared" si="6"/>
        <v>0.54908593934724814</v>
      </c>
      <c r="G33" s="30">
        <f t="shared" si="7"/>
        <v>0.54908593934724814</v>
      </c>
      <c r="H33" s="31">
        <f t="shared" si="2"/>
        <v>0.16440876039233104</v>
      </c>
      <c r="I33" s="32" t="str">
        <f t="shared" si="9"/>
        <v/>
      </c>
      <c r="J33" s="35">
        <f t="shared" si="3"/>
        <v>0.16440876039233104</v>
      </c>
      <c r="L33" s="9"/>
      <c r="M33" s="9"/>
      <c r="N33" s="104"/>
      <c r="O33" s="82"/>
      <c r="P33" s="82"/>
      <c r="V33">
        <v>21</v>
      </c>
      <c r="W33">
        <v>0.14000000000000001</v>
      </c>
      <c r="X33">
        <v>0.1</v>
      </c>
    </row>
    <row r="34" spans="3:24" x14ac:dyDescent="0.15">
      <c r="C34" s="6">
        <f t="shared" si="5"/>
        <v>22</v>
      </c>
      <c r="D34" s="152">
        <f t="shared" si="0"/>
        <v>277.60247274762389</v>
      </c>
      <c r="E34" s="13">
        <f t="shared" si="1"/>
        <v>378.73474692046517</v>
      </c>
      <c r="F34" s="30">
        <f t="shared" si="6"/>
        <v>0.54270113664863318</v>
      </c>
      <c r="G34" s="30">
        <f t="shared" si="7"/>
        <v>0.54270113664863318</v>
      </c>
      <c r="H34" s="31">
        <f t="shared" si="2"/>
        <v>0.16249700592585029</v>
      </c>
      <c r="I34" s="32" t="str">
        <f t="shared" si="9"/>
        <v/>
      </c>
      <c r="J34" s="35">
        <f t="shared" si="3"/>
        <v>0.16249700592585029</v>
      </c>
      <c r="L34" s="34" t="s">
        <v>94</v>
      </c>
      <c r="M34" s="9"/>
      <c r="N34" s="104"/>
      <c r="O34" s="82"/>
      <c r="P34" s="82"/>
      <c r="V34">
        <v>22</v>
      </c>
      <c r="W34">
        <v>0.14000000000000001</v>
      </c>
      <c r="X34">
        <v>0.1</v>
      </c>
    </row>
    <row r="35" spans="3:24" x14ac:dyDescent="0.15">
      <c r="C35" s="6">
        <f t="shared" si="5"/>
        <v>23</v>
      </c>
      <c r="D35" s="152">
        <f t="shared" si="0"/>
        <v>281.15690196946508</v>
      </c>
      <c r="E35" s="13">
        <f t="shared" si="1"/>
        <v>392.86179705728688</v>
      </c>
      <c r="F35" s="30">
        <f t="shared" si="6"/>
        <v>0.53700730390881202</v>
      </c>
      <c r="G35" s="30">
        <f t="shared" si="7"/>
        <v>0.53700730390881202</v>
      </c>
      <c r="H35" s="31">
        <f t="shared" si="2"/>
        <v>0.16079214350714013</v>
      </c>
      <c r="I35" s="32" t="str">
        <f t="shared" si="9"/>
        <v/>
      </c>
      <c r="J35" s="35">
        <f t="shared" si="3"/>
        <v>0.16079214350714013</v>
      </c>
      <c r="L35" s="102">
        <f>AVERAGE(J16:J47)</f>
        <v>0.18868662257633637</v>
      </c>
      <c r="M35" s="82"/>
      <c r="N35" s="103"/>
      <c r="O35" s="82"/>
      <c r="P35" s="82"/>
      <c r="V35">
        <v>23</v>
      </c>
      <c r="W35">
        <v>0.14000000000000001</v>
      </c>
      <c r="X35">
        <v>0.1</v>
      </c>
    </row>
    <row r="36" spans="3:24" x14ac:dyDescent="0.15">
      <c r="C36" s="6">
        <f t="shared" si="5"/>
        <v>24</v>
      </c>
      <c r="D36" s="152">
        <f t="shared" si="0"/>
        <v>284.40540568114506</v>
      </c>
      <c r="E36" s="13">
        <f t="shared" si="1"/>
        <v>406.06978134263966</v>
      </c>
      <c r="F36" s="30">
        <f t="shared" si="6"/>
        <v>0.53191747858733662</v>
      </c>
      <c r="G36" s="30">
        <f t="shared" si="7"/>
        <v>0.53191747858733662</v>
      </c>
      <c r="H36" s="31">
        <f t="shared" si="2"/>
        <v>0.1592681345829414</v>
      </c>
      <c r="I36" s="32" t="str">
        <f t="shared" si="9"/>
        <v/>
      </c>
      <c r="J36" s="35">
        <f t="shared" si="3"/>
        <v>0.1592681345829414</v>
      </c>
      <c r="L36" s="82"/>
      <c r="M36" s="82"/>
      <c r="N36" s="103"/>
      <c r="O36" s="82"/>
      <c r="P36" s="82"/>
      <c r="V36">
        <v>24</v>
      </c>
      <c r="W36">
        <v>0.14000000000000001</v>
      </c>
      <c r="X36">
        <v>0.1</v>
      </c>
    </row>
    <row r="37" spans="3:24" ht="14.25" thickBot="1" x14ac:dyDescent="0.2">
      <c r="C37" s="6">
        <f t="shared" si="5"/>
        <v>25</v>
      </c>
      <c r="D37" s="152">
        <f t="shared" si="0"/>
        <v>287.37431452871868</v>
      </c>
      <c r="E37" s="13">
        <f t="shared" si="1"/>
        <v>418.39142798061198</v>
      </c>
      <c r="F37" s="30">
        <f t="shared" si="6"/>
        <v>0.5273578494257849</v>
      </c>
      <c r="G37" s="30">
        <f t="shared" si="7"/>
        <v>0.5273578494257849</v>
      </c>
      <c r="H37" s="31">
        <f t="shared" si="2"/>
        <v>0.15790287839155062</v>
      </c>
      <c r="I37" s="32" t="str">
        <f t="shared" si="9"/>
        <v/>
      </c>
      <c r="J37" s="36">
        <f t="shared" si="3"/>
        <v>0.15790287839155062</v>
      </c>
      <c r="V37">
        <v>25</v>
      </c>
      <c r="W37">
        <v>0.14000000000000001</v>
      </c>
      <c r="X37">
        <v>0.1</v>
      </c>
    </row>
    <row r="38" spans="3:24" x14ac:dyDescent="0.15">
      <c r="C38" s="6">
        <f t="shared" si="5"/>
        <v>26</v>
      </c>
      <c r="D38" s="152">
        <f t="shared" si="0"/>
        <v>290.08769291074395</v>
      </c>
      <c r="E38" s="13">
        <f t="shared" si="1"/>
        <v>429.86368815528908</v>
      </c>
      <c r="F38" s="30">
        <f t="shared" si="6"/>
        <v>0.52326537222845881</v>
      </c>
      <c r="G38" s="30">
        <f t="shared" si="7"/>
        <v>0.52326537222845881</v>
      </c>
      <c r="H38" s="31">
        <f t="shared" si="2"/>
        <v>0.15667749807358777</v>
      </c>
      <c r="I38" s="32" t="str">
        <f t="shared" si="9"/>
        <v/>
      </c>
      <c r="J38" s="37">
        <f t="shared" si="3"/>
        <v>0.15667749807358777</v>
      </c>
      <c r="V38">
        <v>26</v>
      </c>
      <c r="W38">
        <v>0.14000000000000001</v>
      </c>
      <c r="X38">
        <v>0.1</v>
      </c>
    </row>
    <row r="39" spans="3:24" x14ac:dyDescent="0.15">
      <c r="C39" s="6">
        <f>IF(C38&lt;tmax,C38+1,"")</f>
        <v>27</v>
      </c>
      <c r="D39" s="152">
        <f t="shared" si="0"/>
        <v>292.5675340315176</v>
      </c>
      <c r="E39" s="13">
        <f t="shared" si="1"/>
        <v>440.5263555266701</v>
      </c>
      <c r="F39" s="30">
        <f t="shared" si="6"/>
        <v>0.51958588982578791</v>
      </c>
      <c r="G39" s="30">
        <f t="shared" si="7"/>
        <v>0.51958588982578791</v>
      </c>
      <c r="H39" s="31">
        <f t="shared" si="2"/>
        <v>0.15557577774647893</v>
      </c>
      <c r="I39" s="32" t="str">
        <f t="shared" si="9"/>
        <v/>
      </c>
      <c r="J39" s="37">
        <f t="shared" si="3"/>
        <v>0.15557577774647893</v>
      </c>
      <c r="V39">
        <v>27</v>
      </c>
      <c r="W39">
        <v>0.14000000000000001</v>
      </c>
      <c r="X39">
        <v>0.1</v>
      </c>
    </row>
    <row r="40" spans="3:24" x14ac:dyDescent="0.15">
      <c r="C40" s="6">
        <f t="shared" ref="C40:C58" si="10">IF(C39&lt;tmax,C39+1," ")</f>
        <v>28</v>
      </c>
      <c r="D40" s="152">
        <f t="shared" si="0"/>
        <v>294.83393816631059</v>
      </c>
      <c r="E40" s="13">
        <f t="shared" si="1"/>
        <v>450.42093808128135</v>
      </c>
      <c r="F40" s="30">
        <f t="shared" si="6"/>
        <v>0.5162726355235755</v>
      </c>
      <c r="G40" s="30">
        <f t="shared" si="7"/>
        <v>0.5162726355235755</v>
      </c>
      <c r="H40" s="31">
        <f t="shared" si="2"/>
        <v>0.15458371440328192</v>
      </c>
      <c r="I40" s="32" t="str">
        <f t="shared" si="9"/>
        <v/>
      </c>
      <c r="J40" s="37">
        <f t="shared" si="3"/>
        <v>0.15458371440328192</v>
      </c>
      <c r="V40">
        <v>28</v>
      </c>
      <c r="W40">
        <v>0.14000000000000001</v>
      </c>
      <c r="X40">
        <v>0.1</v>
      </c>
    </row>
    <row r="41" spans="3:24" x14ac:dyDescent="0.15">
      <c r="C41" s="6">
        <f t="shared" si="10"/>
        <v>29</v>
      </c>
      <c r="D41" s="152">
        <f t="shared" si="0"/>
        <v>296.90527558352557</v>
      </c>
      <c r="E41" s="13">
        <f t="shared" si="1"/>
        <v>459.5897467436389</v>
      </c>
      <c r="F41" s="30">
        <f t="shared" si="6"/>
        <v>0.51328503132876291</v>
      </c>
      <c r="G41" s="30">
        <f t="shared" si="7"/>
        <v>0.51328503132876291</v>
      </c>
      <c r="H41" s="31">
        <f t="shared" si="2"/>
        <v>0.1536891580742745</v>
      </c>
      <c r="I41" s="32" t="str">
        <f t="shared" si="9"/>
        <v/>
      </c>
      <c r="J41" s="37">
        <f t="shared" si="3"/>
        <v>0.1536891580742745</v>
      </c>
      <c r="V41">
        <v>29</v>
      </c>
      <c r="W41">
        <v>0.14000000000000001</v>
      </c>
      <c r="X41">
        <v>0.1</v>
      </c>
    </row>
    <row r="42" spans="3:24" x14ac:dyDescent="0.15">
      <c r="C42" s="6">
        <f t="shared" si="10"/>
        <v>30</v>
      </c>
      <c r="D42" s="152">
        <f t="shared" si="0"/>
        <v>298.79833544433751</v>
      </c>
      <c r="E42" s="13">
        <f t="shared" si="1"/>
        <v>468.07516855661197</v>
      </c>
      <c r="F42" s="30">
        <f t="shared" si="6"/>
        <v>0.51058771498911926</v>
      </c>
      <c r="G42" s="30">
        <f t="shared" si="7"/>
        <v>0.51058771498911926</v>
      </c>
      <c r="H42" s="31">
        <f t="shared" si="2"/>
        <v>0.15288152050061166</v>
      </c>
      <c r="I42" s="32" t="str">
        <f t="shared" si="9"/>
        <v/>
      </c>
      <c r="J42" s="37">
        <f t="shared" si="3"/>
        <v>0.15288152050061166</v>
      </c>
      <c r="V42">
        <v>30</v>
      </c>
      <c r="W42">
        <v>0.14000000000000001</v>
      </c>
      <c r="X42">
        <v>0.1</v>
      </c>
    </row>
    <row r="43" spans="3:24" x14ac:dyDescent="0.15">
      <c r="C43" s="6">
        <f t="shared" si="10"/>
        <v>31</v>
      </c>
      <c r="D43" s="152">
        <f t="shared" si="0"/>
        <v>300.52846188671873</v>
      </c>
      <c r="E43" s="13">
        <f t="shared" si="1"/>
        <v>475.91909576091376</v>
      </c>
      <c r="F43" s="30">
        <f t="shared" si="6"/>
        <v>0.5081497462666712</v>
      </c>
      <c r="G43" s="30">
        <f t="shared" si="7"/>
        <v>0.5081497462666712</v>
      </c>
      <c r="H43" s="31">
        <f t="shared" si="2"/>
        <v>0.15215153747462221</v>
      </c>
      <c r="I43" s="32" t="str">
        <f t="shared" si="9"/>
        <v/>
      </c>
      <c r="J43" s="37">
        <f t="shared" si="3"/>
        <v>0.15215153747462221</v>
      </c>
      <c r="V43">
        <v>31</v>
      </c>
      <c r="W43">
        <v>0.14000000000000001</v>
      </c>
      <c r="X43">
        <v>0.1</v>
      </c>
    </row>
    <row r="44" spans="3:24" x14ac:dyDescent="0.15">
      <c r="C44" s="6">
        <f t="shared" si="10"/>
        <v>32</v>
      </c>
      <c r="D44" s="152">
        <f t="shared" si="0"/>
        <v>302.10967839687333</v>
      </c>
      <c r="E44" s="13">
        <f t="shared" si="1"/>
        <v>483.16248555429485</v>
      </c>
      <c r="F44" s="30">
        <f t="shared" si="6"/>
        <v>0.50594395480342447</v>
      </c>
      <c r="G44" s="30">
        <f t="shared" si="7"/>
        <v>0.50594395480342447</v>
      </c>
      <c r="H44" s="31">
        <f t="shared" si="2"/>
        <v>0.15149107357604288</v>
      </c>
      <c r="I44" s="32" t="str">
        <f t="shared" si="9"/>
        <v/>
      </c>
      <c r="J44" s="37">
        <f t="shared" si="3"/>
        <v>0.15149107357604288</v>
      </c>
      <c r="V44">
        <v>32</v>
      </c>
      <c r="W44">
        <v>0.14000000000000001</v>
      </c>
      <c r="X44">
        <v>0.1</v>
      </c>
    </row>
    <row r="45" spans="3:24" x14ac:dyDescent="0.15">
      <c r="C45" s="6">
        <f t="shared" si="10"/>
        <v>33</v>
      </c>
      <c r="D45" s="152">
        <f t="shared" si="0"/>
        <v>303.5548014761693</v>
      </c>
      <c r="E45" s="13">
        <f t="shared" si="1"/>
        <v>489.84502857182724</v>
      </c>
      <c r="F45" s="30">
        <f t="shared" si="6"/>
        <v>0.50394640073417996</v>
      </c>
      <c r="G45" s="30">
        <f t="shared" si="7"/>
        <v>0.50394640073417996</v>
      </c>
      <c r="H45" s="31">
        <f t="shared" si="2"/>
        <v>0.1508929606672848</v>
      </c>
      <c r="I45" s="32" t="str">
        <f t="shared" si="9"/>
        <v/>
      </c>
      <c r="J45" s="37">
        <f t="shared" si="3"/>
        <v>0.1508929606672848</v>
      </c>
      <c r="V45">
        <v>33</v>
      </c>
      <c r="W45">
        <v>0.14000000000000001</v>
      </c>
      <c r="X45">
        <v>0.1</v>
      </c>
    </row>
    <row r="46" spans="3:24" x14ac:dyDescent="0.15">
      <c r="C46" s="6">
        <f t="shared" si="10"/>
        <v>34</v>
      </c>
      <c r="D46" s="152">
        <f t="shared" si="0"/>
        <v>304.87554452489314</v>
      </c>
      <c r="E46" s="13">
        <f t="shared" si="1"/>
        <v>496.00490713390735</v>
      </c>
      <c r="F46" s="30">
        <f t="shared" si="6"/>
        <v>0.50213592574856081</v>
      </c>
      <c r="G46" s="30">
        <f t="shared" si="7"/>
        <v>0.50213592574856081</v>
      </c>
      <c r="H46" s="31">
        <f t="shared" si="2"/>
        <v>0.15035086347124144</v>
      </c>
      <c r="I46" s="32" t="str">
        <f t="shared" si="9"/>
        <v/>
      </c>
      <c r="J46" s="37">
        <f t="shared" si="3"/>
        <v>0.15035086347124144</v>
      </c>
      <c r="V46">
        <v>34</v>
      </c>
      <c r="W46">
        <v>0.14000000000000001</v>
      </c>
      <c r="X46">
        <v>0.1</v>
      </c>
    </row>
    <row r="47" spans="3:24" x14ac:dyDescent="0.15">
      <c r="C47" s="6">
        <f t="shared" si="10"/>
        <v>35</v>
      </c>
      <c r="D47" s="152">
        <f t="shared" si="0"/>
        <v>306.08261278485202</v>
      </c>
      <c r="E47" s="13">
        <f t="shared" si="1"/>
        <v>501.67862702656089</v>
      </c>
      <c r="F47" s="30">
        <f t="shared" si="6"/>
        <v>0.50049377722450661</v>
      </c>
      <c r="G47" s="30">
        <f t="shared" si="7"/>
        <v>0.50049377722450661</v>
      </c>
      <c r="H47" s="31">
        <f t="shared" si="2"/>
        <v>0.14985916702834801</v>
      </c>
      <c r="I47" s="32">
        <f t="shared" si="9"/>
        <v>1</v>
      </c>
      <c r="J47" s="37">
        <f t="shared" si="3"/>
        <v>0.14985916702834801</v>
      </c>
    </row>
    <row r="48" spans="3:24" x14ac:dyDescent="0.15">
      <c r="C48" s="6" t="str">
        <f t="shared" si="10"/>
        <v xml:space="preserve"> </v>
      </c>
      <c r="D48" s="41" t="str">
        <f t="shared" ref="D48:D58" si="11">IF(C48&gt;tmax," ",linf*(1-EXP(-k*(C48-t0+offset-shift))))</f>
        <v xml:space="preserve"> </v>
      </c>
      <c r="E48" s="13" t="str">
        <f t="shared" si="1"/>
        <v xml:space="preserve"> </v>
      </c>
      <c r="F48" s="30" t="str">
        <f t="shared" si="6"/>
        <v xml:space="preserve"> </v>
      </c>
      <c r="G48" s="30" t="str">
        <f t="shared" si="7"/>
        <v/>
      </c>
      <c r="H48" s="31" t="str">
        <f t="shared" si="2"/>
        <v/>
      </c>
      <c r="I48" s="32" t="str">
        <f t="shared" si="9"/>
        <v/>
      </c>
      <c r="J48" s="37">
        <f t="shared" si="3"/>
        <v>0.14985916702834801</v>
      </c>
      <c r="N48" s="44" t="s">
        <v>5</v>
      </c>
    </row>
    <row r="49" spans="3:10" x14ac:dyDescent="0.15">
      <c r="C49" s="6" t="str">
        <f t="shared" si="10"/>
        <v xml:space="preserve"> </v>
      </c>
      <c r="D49" s="41" t="str">
        <f t="shared" si="11"/>
        <v xml:space="preserve"> </v>
      </c>
      <c r="E49" s="13" t="str">
        <f t="shared" si="1"/>
        <v xml:space="preserve"> </v>
      </c>
      <c r="F49" s="30" t="str">
        <f t="shared" si="6"/>
        <v xml:space="preserve"> </v>
      </c>
      <c r="G49" s="30" t="str">
        <f t="shared" si="7"/>
        <v/>
      </c>
      <c r="H49" s="31" t="str">
        <f t="shared" si="2"/>
        <v/>
      </c>
      <c r="I49" s="32" t="str">
        <f t="shared" si="9"/>
        <v/>
      </c>
      <c r="J49" s="37">
        <f t="shared" si="3"/>
        <v>0.14985916702834801</v>
      </c>
    </row>
    <row r="50" spans="3:10" x14ac:dyDescent="0.15">
      <c r="C50" s="6" t="str">
        <f t="shared" si="10"/>
        <v xml:space="preserve"> </v>
      </c>
      <c r="D50" s="41" t="str">
        <f t="shared" si="11"/>
        <v xml:space="preserve"> </v>
      </c>
      <c r="E50" s="13" t="str">
        <f t="shared" si="1"/>
        <v xml:space="preserve"> </v>
      </c>
      <c r="F50" s="30" t="str">
        <f t="shared" si="6"/>
        <v xml:space="preserve"> </v>
      </c>
      <c r="G50" s="30" t="str">
        <f t="shared" si="7"/>
        <v/>
      </c>
      <c r="H50" s="31" t="str">
        <f t="shared" si="2"/>
        <v/>
      </c>
      <c r="I50" s="32" t="str">
        <f t="shared" si="9"/>
        <v/>
      </c>
      <c r="J50" s="37">
        <f t="shared" si="3"/>
        <v>0.14985916702834801</v>
      </c>
    </row>
    <row r="51" spans="3:10" x14ac:dyDescent="0.15">
      <c r="C51" s="6" t="str">
        <f t="shared" si="10"/>
        <v xml:space="preserve"> </v>
      </c>
      <c r="D51" s="41" t="str">
        <f t="shared" si="11"/>
        <v xml:space="preserve"> </v>
      </c>
      <c r="E51" s="13" t="str">
        <f t="shared" si="1"/>
        <v xml:space="preserve"> </v>
      </c>
      <c r="F51" s="30" t="str">
        <f t="shared" si="6"/>
        <v xml:space="preserve"> </v>
      </c>
      <c r="G51" s="30" t="str">
        <f t="shared" si="7"/>
        <v/>
      </c>
      <c r="H51" s="31" t="str">
        <f t="shared" si="2"/>
        <v/>
      </c>
      <c r="I51" s="32" t="str">
        <f t="shared" si="9"/>
        <v/>
      </c>
      <c r="J51" s="37">
        <f t="shared" si="3"/>
        <v>0.14985916702834801</v>
      </c>
    </row>
    <row r="52" spans="3:10" x14ac:dyDescent="0.15">
      <c r="C52" s="6" t="str">
        <f t="shared" si="10"/>
        <v xml:space="preserve"> </v>
      </c>
      <c r="D52" s="41" t="str">
        <f t="shared" si="11"/>
        <v xml:space="preserve"> </v>
      </c>
      <c r="E52" s="13" t="str">
        <f t="shared" si="1"/>
        <v xml:space="preserve"> </v>
      </c>
      <c r="F52" s="30" t="str">
        <f t="shared" si="6"/>
        <v xml:space="preserve"> </v>
      </c>
      <c r="G52" s="30" t="str">
        <f t="shared" si="7"/>
        <v/>
      </c>
      <c r="H52" s="31" t="str">
        <f t="shared" si="2"/>
        <v/>
      </c>
      <c r="I52" s="32" t="str">
        <f t="shared" si="9"/>
        <v/>
      </c>
      <c r="J52" s="37">
        <f t="shared" si="3"/>
        <v>0.14985916702834801</v>
      </c>
    </row>
    <row r="53" spans="3:10" x14ac:dyDescent="0.15">
      <c r="C53" s="6" t="str">
        <f t="shared" si="10"/>
        <v xml:space="preserve"> </v>
      </c>
      <c r="D53" s="41" t="str">
        <f t="shared" si="11"/>
        <v xml:space="preserve"> </v>
      </c>
      <c r="E53" s="13" t="str">
        <f t="shared" si="1"/>
        <v xml:space="preserve"> </v>
      </c>
      <c r="F53" s="30" t="str">
        <f t="shared" si="6"/>
        <v xml:space="preserve"> </v>
      </c>
      <c r="G53" s="30" t="str">
        <f t="shared" si="7"/>
        <v/>
      </c>
      <c r="H53" s="31" t="str">
        <f t="shared" si="2"/>
        <v/>
      </c>
      <c r="I53" s="32" t="str">
        <f t="shared" si="9"/>
        <v/>
      </c>
      <c r="J53" s="37">
        <f t="shared" si="3"/>
        <v>0.14985916702834801</v>
      </c>
    </row>
    <row r="54" spans="3:10" x14ac:dyDescent="0.15">
      <c r="C54" s="6" t="str">
        <f t="shared" si="10"/>
        <v xml:space="preserve"> </v>
      </c>
      <c r="D54" s="41" t="str">
        <f t="shared" si="11"/>
        <v xml:space="preserve"> </v>
      </c>
      <c r="E54" s="13" t="str">
        <f t="shared" si="1"/>
        <v xml:space="preserve"> </v>
      </c>
      <c r="F54" s="30" t="str">
        <f t="shared" si="6"/>
        <v xml:space="preserve"> </v>
      </c>
      <c r="G54" s="30" t="str">
        <f t="shared" si="7"/>
        <v/>
      </c>
      <c r="H54" s="31" t="str">
        <f t="shared" si="2"/>
        <v/>
      </c>
      <c r="I54" s="32" t="str">
        <f t="shared" si="9"/>
        <v/>
      </c>
      <c r="J54" s="37">
        <f t="shared" si="3"/>
        <v>0.14985916702834801</v>
      </c>
    </row>
    <row r="55" spans="3:10" x14ac:dyDescent="0.15">
      <c r="C55" s="6" t="str">
        <f t="shared" si="10"/>
        <v xml:space="preserve"> </v>
      </c>
      <c r="D55" s="41" t="str">
        <f t="shared" si="11"/>
        <v xml:space="preserve"> </v>
      </c>
      <c r="E55" s="13" t="str">
        <f t="shared" si="1"/>
        <v xml:space="preserve"> </v>
      </c>
      <c r="F55" s="30" t="str">
        <f t="shared" si="6"/>
        <v xml:space="preserve"> </v>
      </c>
      <c r="G55" s="30" t="str">
        <f t="shared" si="7"/>
        <v/>
      </c>
      <c r="H55" s="31" t="str">
        <f t="shared" si="2"/>
        <v/>
      </c>
      <c r="I55" s="32" t="str">
        <f t="shared" si="9"/>
        <v/>
      </c>
      <c r="J55" s="37">
        <f t="shared" si="3"/>
        <v>0.14985916702834801</v>
      </c>
    </row>
    <row r="56" spans="3:10" x14ac:dyDescent="0.15">
      <c r="C56" s="6" t="str">
        <f t="shared" si="10"/>
        <v xml:space="preserve"> </v>
      </c>
      <c r="D56" s="41" t="str">
        <f t="shared" si="11"/>
        <v xml:space="preserve"> </v>
      </c>
      <c r="E56" s="13" t="str">
        <f t="shared" si="1"/>
        <v xml:space="preserve"> </v>
      </c>
      <c r="F56" s="30" t="str">
        <f t="shared" si="6"/>
        <v xml:space="preserve"> </v>
      </c>
      <c r="G56" s="30" t="str">
        <f t="shared" si="7"/>
        <v/>
      </c>
      <c r="H56" s="31" t="str">
        <f t="shared" si="2"/>
        <v/>
      </c>
      <c r="I56" s="32" t="str">
        <f t="shared" si="9"/>
        <v/>
      </c>
      <c r="J56" s="37">
        <f t="shared" si="3"/>
        <v>0.14985916702834801</v>
      </c>
    </row>
    <row r="57" spans="3:10" x14ac:dyDescent="0.15">
      <c r="C57" s="6" t="str">
        <f t="shared" si="10"/>
        <v xml:space="preserve"> </v>
      </c>
      <c r="D57" s="41" t="str">
        <f t="shared" si="11"/>
        <v xml:space="preserve"> </v>
      </c>
      <c r="E57" s="13" t="str">
        <f t="shared" si="1"/>
        <v xml:space="preserve"> </v>
      </c>
      <c r="F57" s="30" t="str">
        <f t="shared" si="6"/>
        <v xml:space="preserve"> </v>
      </c>
      <c r="G57" s="30" t="str">
        <f t="shared" si="7"/>
        <v/>
      </c>
      <c r="H57" s="31" t="str">
        <f t="shared" si="2"/>
        <v/>
      </c>
      <c r="I57" s="32" t="str">
        <f t="shared" si="9"/>
        <v/>
      </c>
      <c r="J57" s="37">
        <f t="shared" si="3"/>
        <v>0.14985916702834801</v>
      </c>
    </row>
    <row r="58" spans="3:10" x14ac:dyDescent="0.15">
      <c r="C58" s="6" t="str">
        <f t="shared" si="10"/>
        <v xml:space="preserve"> </v>
      </c>
      <c r="D58" s="41" t="str">
        <f t="shared" si="11"/>
        <v xml:space="preserve"> </v>
      </c>
      <c r="E58" s="13" t="str">
        <f t="shared" si="1"/>
        <v xml:space="preserve"> </v>
      </c>
      <c r="F58" s="30" t="str">
        <f t="shared" si="6"/>
        <v xml:space="preserve"> </v>
      </c>
      <c r="G58" s="30" t="str">
        <f t="shared" si="7"/>
        <v/>
      </c>
      <c r="H58" s="31" t="str">
        <f t="shared" si="2"/>
        <v/>
      </c>
      <c r="I58" s="32" t="str">
        <f t="shared" si="9"/>
        <v/>
      </c>
      <c r="J58" s="37">
        <f t="shared" si="3"/>
        <v>0.14985916702834801</v>
      </c>
    </row>
    <row r="60" spans="3:10" ht="14.25" x14ac:dyDescent="0.2">
      <c r="F60" t="s">
        <v>100</v>
      </c>
      <c r="G60" s="38">
        <f>SUM(G12:G58)</f>
        <v>20.165382166225747</v>
      </c>
    </row>
    <row r="61" spans="3:10" ht="14.25" x14ac:dyDescent="0.2">
      <c r="F61" t="s">
        <v>101</v>
      </c>
      <c r="G61" s="38">
        <f>(tmax-full_sel_age+1)*target_M</f>
        <v>6.0379719224427637</v>
      </c>
      <c r="I61" s="39">
        <f>SUMPRODUCT(I12:I58,H12:H58)/SUM(I12:I58)</f>
        <v>0.14985916702834801</v>
      </c>
    </row>
  </sheetData>
  <phoneticPr fontId="37"/>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1"/>
  <sheetViews>
    <sheetView zoomScale="70" zoomScaleNormal="70" workbookViewId="0">
      <selection activeCell="M18" sqref="M18"/>
    </sheetView>
  </sheetViews>
  <sheetFormatPr defaultRowHeight="13.5" x14ac:dyDescent="0.15"/>
  <cols>
    <col min="2" max="2" width="11.375" customWidth="1"/>
    <col min="3" max="8" width="12.75" customWidth="1"/>
    <col min="9" max="9" width="16.75" customWidth="1"/>
    <col min="10" max="10" width="12.75" style="4" customWidth="1"/>
    <col min="13" max="13" width="14.125" customWidth="1"/>
    <col min="14" max="14" width="14.125" style="44" customWidth="1"/>
    <col min="15" max="15" width="17.875" customWidth="1"/>
  </cols>
  <sheetData>
    <row r="1" spans="1:24" ht="14.25" x14ac:dyDescent="0.2">
      <c r="A1" t="s">
        <v>155</v>
      </c>
      <c r="C1" s="2" t="s">
        <v>16</v>
      </c>
      <c r="D1" s="2"/>
      <c r="E1" s="2"/>
      <c r="G1" s="3" t="s">
        <v>17</v>
      </c>
      <c r="H1" s="3" t="s">
        <v>1</v>
      </c>
      <c r="I1" s="157">
        <v>3.5080100000000003E-5</v>
      </c>
      <c r="J1" s="42"/>
      <c r="K1" s="5" t="s">
        <v>18</v>
      </c>
      <c r="L1" s="6"/>
      <c r="M1" s="5">
        <v>35</v>
      </c>
      <c r="N1" s="43"/>
    </row>
    <row r="2" spans="1:24" ht="14.25" x14ac:dyDescent="0.2">
      <c r="A2" t="s">
        <v>153</v>
      </c>
      <c r="B2">
        <v>0</v>
      </c>
      <c r="C2" s="8" t="s">
        <v>19</v>
      </c>
      <c r="D2" s="8"/>
      <c r="E2" s="11">
        <v>3</v>
      </c>
      <c r="F2" s="9"/>
      <c r="G2" s="10"/>
      <c r="H2" s="3" t="s">
        <v>2</v>
      </c>
      <c r="I2" s="157">
        <v>2.8784510000000001</v>
      </c>
      <c r="K2" s="5" t="s">
        <v>20</v>
      </c>
      <c r="L2" s="6"/>
      <c r="M2" s="5">
        <v>10</v>
      </c>
      <c r="N2" s="43"/>
    </row>
    <row r="3" spans="1:24" ht="14.25" x14ac:dyDescent="0.2">
      <c r="A3" t="s">
        <v>154</v>
      </c>
      <c r="B3">
        <v>34</v>
      </c>
      <c r="C3" s="8" t="s">
        <v>21</v>
      </c>
      <c r="D3" s="8"/>
      <c r="E3" s="11">
        <v>-0.28799999999999998</v>
      </c>
      <c r="F3" s="7"/>
      <c r="G3" s="10"/>
      <c r="H3" s="3" t="s">
        <v>22</v>
      </c>
      <c r="I3" s="147">
        <v>270.60000000000002</v>
      </c>
      <c r="J3" t="s">
        <v>5</v>
      </c>
      <c r="K3" s="5" t="s">
        <v>23</v>
      </c>
      <c r="L3" s="6"/>
      <c r="M3" s="5">
        <v>35</v>
      </c>
      <c r="N3" s="43"/>
    </row>
    <row r="4" spans="1:24" ht="14.25" x14ac:dyDescent="0.2">
      <c r="A4" t="s">
        <v>151</v>
      </c>
      <c r="B4">
        <v>33</v>
      </c>
      <c r="C4" s="8" t="s">
        <v>95</v>
      </c>
      <c r="D4" t="s">
        <v>5</v>
      </c>
      <c r="F4" s="7"/>
      <c r="G4" s="10"/>
      <c r="H4" s="3" t="s">
        <v>24</v>
      </c>
      <c r="I4" s="147">
        <v>0.22</v>
      </c>
      <c r="J4" t="s">
        <v>5</v>
      </c>
      <c r="K4" s="5" t="s">
        <v>15</v>
      </c>
      <c r="L4" s="6"/>
      <c r="M4" s="5">
        <v>0.5</v>
      </c>
      <c r="N4" s="43"/>
    </row>
    <row r="5" spans="1:24" ht="14.25" x14ac:dyDescent="0.2">
      <c r="A5" t="s">
        <v>152</v>
      </c>
      <c r="B5">
        <v>270.60000000000002</v>
      </c>
      <c r="C5" s="11" t="s">
        <v>8</v>
      </c>
      <c r="D5" s="11" t="s">
        <v>140</v>
      </c>
      <c r="E5" s="12"/>
      <c r="F5" s="7"/>
      <c r="G5" s="10"/>
      <c r="H5" s="3" t="s">
        <v>7</v>
      </c>
      <c r="I5" s="147">
        <v>-0.65</v>
      </c>
      <c r="J5" t="s">
        <v>5</v>
      </c>
      <c r="K5" s="5"/>
      <c r="L5" s="6"/>
      <c r="M5" s="5"/>
      <c r="N5" s="43"/>
      <c r="O5" t="s">
        <v>5</v>
      </c>
    </row>
    <row r="6" spans="1:24" ht="14.25" x14ac:dyDescent="0.2">
      <c r="A6" t="s">
        <v>150</v>
      </c>
      <c r="B6">
        <v>-0.12</v>
      </c>
      <c r="C6" s="11" t="s">
        <v>5</v>
      </c>
      <c r="D6" s="11"/>
      <c r="E6" s="12"/>
      <c r="F6" s="7"/>
      <c r="G6" s="13"/>
      <c r="H6" s="3" t="s">
        <v>25</v>
      </c>
      <c r="I6" s="156">
        <f>120/365.25</f>
        <v>0.32854209445585214</v>
      </c>
      <c r="L6" s="15" t="s">
        <v>139</v>
      </c>
      <c r="M6" s="40">
        <f>P7</f>
        <v>0.11873020530810875</v>
      </c>
      <c r="N6" s="14" t="s">
        <v>37</v>
      </c>
      <c r="O6" s="40">
        <f>4.899*tmax^-0.916</f>
        <v>0.18868662257633637</v>
      </c>
      <c r="P6" t="s">
        <v>5</v>
      </c>
      <c r="Q6" t="s">
        <v>5</v>
      </c>
    </row>
    <row r="7" spans="1:24" ht="14.25" x14ac:dyDescent="0.2">
      <c r="A7" t="s">
        <v>24</v>
      </c>
      <c r="B7">
        <v>0.22</v>
      </c>
      <c r="C7" s="11" t="s">
        <v>148</v>
      </c>
      <c r="D7" s="11" t="s">
        <v>5</v>
      </c>
      <c r="E7" s="12"/>
      <c r="F7" s="7">
        <f>cum_L</f>
        <v>15.019242436516663</v>
      </c>
      <c r="G7" t="s">
        <v>5</v>
      </c>
      <c r="H7" s="155"/>
      <c r="I7" s="147"/>
      <c r="N7" s="14" t="s">
        <v>5</v>
      </c>
      <c r="O7" t="s">
        <v>158</v>
      </c>
      <c r="P7">
        <f>EXP(1.46+-1.01*LN(tmax))</f>
        <v>0.11873020530810875</v>
      </c>
    </row>
    <row r="8" spans="1:24" ht="14.25" x14ac:dyDescent="0.2">
      <c r="A8" t="s">
        <v>160</v>
      </c>
      <c r="B8">
        <v>5.84</v>
      </c>
      <c r="C8" s="11"/>
      <c r="D8" s="11" t="s">
        <v>5</v>
      </c>
      <c r="E8" s="12"/>
      <c r="F8" s="7"/>
      <c r="K8" s="1" t="s">
        <v>26</v>
      </c>
      <c r="L8" s="1"/>
      <c r="M8" s="16">
        <f>M6</f>
        <v>0.11873020530810875</v>
      </c>
    </row>
    <row r="9" spans="1:24" ht="14.25" x14ac:dyDescent="0.2">
      <c r="A9" t="s">
        <v>161</v>
      </c>
      <c r="B9">
        <v>0.06</v>
      </c>
      <c r="C9" s="17"/>
      <c r="D9" s="17"/>
      <c r="E9" s="18"/>
      <c r="F9" s="19" t="s">
        <v>8</v>
      </c>
      <c r="G9" s="20" t="s">
        <v>27</v>
      </c>
      <c r="H9" s="21"/>
      <c r="I9" s="22" t="s">
        <v>28</v>
      </c>
      <c r="J9" s="23" t="s">
        <v>29</v>
      </c>
      <c r="L9" s="82"/>
      <c r="M9" s="82"/>
      <c r="N9" s="82"/>
      <c r="O9" s="112"/>
    </row>
    <row r="10" spans="1:24" ht="14.25" x14ac:dyDescent="0.2">
      <c r="C10" s="24" t="s">
        <v>30</v>
      </c>
      <c r="D10" s="24"/>
      <c r="E10" s="25" t="s">
        <v>31</v>
      </c>
      <c r="F10" s="26" t="s">
        <v>32</v>
      </c>
      <c r="G10" s="26" t="s">
        <v>33</v>
      </c>
      <c r="H10" s="27" t="s">
        <v>34</v>
      </c>
      <c r="I10" s="28" t="s">
        <v>35</v>
      </c>
      <c r="J10" s="29" t="s">
        <v>36</v>
      </c>
      <c r="L10" s="82"/>
      <c r="M10" s="82"/>
      <c r="N10" s="103"/>
      <c r="O10" s="82"/>
    </row>
    <row r="11" spans="1:24" ht="15" thickBot="1" x14ac:dyDescent="0.25">
      <c r="C11" s="138"/>
      <c r="D11" s="138"/>
      <c r="E11" s="139"/>
      <c r="F11" s="19" t="s">
        <v>136</v>
      </c>
      <c r="G11" s="19" t="s">
        <v>138</v>
      </c>
      <c r="H11" s="140" t="s">
        <v>137</v>
      </c>
      <c r="I11" s="141"/>
      <c r="J11" s="29"/>
      <c r="L11" s="82"/>
      <c r="M11" s="82"/>
      <c r="N11" s="103"/>
      <c r="O11" s="82"/>
      <c r="W11" t="s">
        <v>156</v>
      </c>
      <c r="X11" t="s">
        <v>157</v>
      </c>
    </row>
    <row r="12" spans="1:24" x14ac:dyDescent="0.15">
      <c r="C12" s="6">
        <v>0</v>
      </c>
      <c r="D12" s="152">
        <f t="shared" ref="D12:D47" si="0">(L1_^p+(L2_^p-L1_^p)*(1-EXP(-k*((C12+offset-shift)-A1_)))/(1-EXP(-k*(A2_-A1_))))^(1/p)</f>
        <v>35.36307336354951</v>
      </c>
      <c r="E12" s="13">
        <f t="shared" ref="E12:E47" si="1">IF(C12&gt;tmax," ",a*(D12)^b)</f>
        <v>1.0057409296356601</v>
      </c>
      <c r="F12" s="208">
        <f>IF(C12&gt;tmax," ",alpha*E12^beta)</f>
        <v>2.9950580953886958</v>
      </c>
      <c r="G12" s="208" t="str">
        <f>IF(OR(C12&lt;full_sel_age,C12&gt;tmax),"",F12)</f>
        <v/>
      </c>
      <c r="H12" s="209">
        <f t="shared" ref="H12:H58" si="2">IF(C12&gt;tmax,"",F12*cum_M/cum_L)</f>
        <v>0.61559033127238394</v>
      </c>
      <c r="I12" s="32" t="str">
        <f>IF(OR(C12&lt;plus_age,C12&gt;tmax),"",IF(C12=plus_age,1,I10*EXP(-H10)))</f>
        <v/>
      </c>
      <c r="J12" s="33">
        <f t="shared" ref="J12:J58" si="3">IF(C12&lt;plus_age,H12,plus_m)</f>
        <v>0.61559033127238394</v>
      </c>
      <c r="K12" t="str">
        <f t="shared" ref="K12:K23" si="4">IF(C12&gt;=full_sel_age,J12,"")</f>
        <v/>
      </c>
      <c r="L12" s="82"/>
      <c r="M12" s="153"/>
      <c r="N12" s="153"/>
      <c r="O12" s="9"/>
      <c r="W12">
        <v>0.14000000000000001</v>
      </c>
    </row>
    <row r="13" spans="1:24" x14ac:dyDescent="0.15">
      <c r="C13" s="6">
        <f t="shared" ref="C13:C38" si="5">IF(C12&lt;tmax,C12+1," ")</f>
        <v>1</v>
      </c>
      <c r="D13" s="152">
        <f t="shared" si="0"/>
        <v>50.922390551120031</v>
      </c>
      <c r="E13" s="13">
        <f t="shared" si="1"/>
        <v>2.87285771596519</v>
      </c>
      <c r="F13" s="208">
        <f t="shared" ref="F13:F58" si="6">IF(C13&gt;tmax," ",alpha*E13^beta)</f>
        <v>2.2137409000404529</v>
      </c>
      <c r="G13" s="208" t="str">
        <f t="shared" ref="G13:G58" si="7">IF(OR(C13&lt;full_sel_age,C13&gt;tmax),"",F13)</f>
        <v/>
      </c>
      <c r="H13" s="209">
        <f t="shared" si="2"/>
        <v>0.45500202353512953</v>
      </c>
      <c r="I13" s="32" t="str">
        <f t="shared" ref="I13:I30" si="8">IF(OR(C13&lt;plus_age,C13&gt;tmax),"",IF(C13=plus_age,1,I12*EXP(-H12)))</f>
        <v/>
      </c>
      <c r="J13" s="35">
        <f t="shared" si="3"/>
        <v>0.45500202353512953</v>
      </c>
      <c r="K13" t="str">
        <f t="shared" si="4"/>
        <v/>
      </c>
      <c r="L13" s="82"/>
      <c r="M13" s="153"/>
      <c r="N13" s="153"/>
      <c r="O13" s="9"/>
      <c r="P13" t="s">
        <v>5</v>
      </c>
      <c r="Q13" t="s">
        <v>5</v>
      </c>
      <c r="V13">
        <v>1</v>
      </c>
      <c r="W13">
        <v>0.14000000000000001</v>
      </c>
      <c r="X13">
        <v>0.49</v>
      </c>
    </row>
    <row r="14" spans="1:24" x14ac:dyDescent="0.15">
      <c r="C14" s="6">
        <f t="shared" si="5"/>
        <v>2</v>
      </c>
      <c r="D14" s="152">
        <f t="shared" si="0"/>
        <v>69.05655494855786</v>
      </c>
      <c r="E14" s="13">
        <f t="shared" si="1"/>
        <v>6.9043378006352656</v>
      </c>
      <c r="F14" s="208">
        <f t="shared" si="6"/>
        <v>1.7197056165149149</v>
      </c>
      <c r="G14" s="208" t="str">
        <f t="shared" si="7"/>
        <v/>
      </c>
      <c r="H14" s="209">
        <f t="shared" si="2"/>
        <v>0.35346030575877935</v>
      </c>
      <c r="I14" s="32" t="str">
        <f t="shared" si="8"/>
        <v/>
      </c>
      <c r="J14" s="35">
        <f t="shared" si="3"/>
        <v>0.35346030575877935</v>
      </c>
      <c r="K14" t="str">
        <f t="shared" si="4"/>
        <v/>
      </c>
      <c r="L14" s="82"/>
      <c r="M14" s="153"/>
      <c r="N14" s="153"/>
      <c r="O14" s="9"/>
      <c r="P14" t="s">
        <v>5</v>
      </c>
      <c r="Q14" t="s">
        <v>5</v>
      </c>
      <c r="V14">
        <v>2</v>
      </c>
      <c r="W14">
        <v>0.14000000000000001</v>
      </c>
      <c r="X14">
        <v>0.24</v>
      </c>
    </row>
    <row r="15" spans="1:24" x14ac:dyDescent="0.15">
      <c r="C15" s="6">
        <f t="shared" si="5"/>
        <v>3</v>
      </c>
      <c r="D15" s="152">
        <f t="shared" si="0"/>
        <v>88.917611017318748</v>
      </c>
      <c r="E15" s="13">
        <f t="shared" si="1"/>
        <v>14.293107622429364</v>
      </c>
      <c r="F15" s="208">
        <f t="shared" si="6"/>
        <v>1.3945843123922674</v>
      </c>
      <c r="G15" s="208" t="str">
        <f t="shared" si="7"/>
        <v/>
      </c>
      <c r="H15" s="209">
        <f t="shared" si="2"/>
        <v>0.28663638283831394</v>
      </c>
      <c r="I15" s="32" t="str">
        <f t="shared" si="8"/>
        <v/>
      </c>
      <c r="J15" s="35">
        <f t="shared" si="3"/>
        <v>0.28663638283831394</v>
      </c>
      <c r="K15" s="101" t="str">
        <f t="shared" si="4"/>
        <v/>
      </c>
      <c r="L15" s="82"/>
      <c r="M15" s="153"/>
      <c r="N15" s="153"/>
      <c r="O15" s="9"/>
      <c r="V15">
        <v>3</v>
      </c>
      <c r="W15">
        <v>0.14000000000000001</v>
      </c>
      <c r="X15">
        <v>0.24</v>
      </c>
    </row>
    <row r="16" spans="1:24" x14ac:dyDescent="0.15">
      <c r="C16" s="6">
        <f t="shared" si="5"/>
        <v>4</v>
      </c>
      <c r="D16" s="152">
        <f t="shared" si="0"/>
        <v>109.53793064983296</v>
      </c>
      <c r="E16" s="13">
        <f t="shared" si="1"/>
        <v>26.052379138399161</v>
      </c>
      <c r="F16" s="208">
        <f t="shared" si="6"/>
        <v>1.1731598908033003</v>
      </c>
      <c r="G16" s="208" t="str">
        <f t="shared" si="7"/>
        <v/>
      </c>
      <c r="H16" s="209">
        <f t="shared" si="2"/>
        <v>0.24112583556458619</v>
      </c>
      <c r="I16" s="32" t="str">
        <f t="shared" si="8"/>
        <v/>
      </c>
      <c r="J16" s="35">
        <f t="shared" si="3"/>
        <v>0.24112583556458619</v>
      </c>
      <c r="K16" s="101" t="str">
        <f t="shared" si="4"/>
        <v/>
      </c>
      <c r="L16" s="82"/>
      <c r="M16" s="153"/>
      <c r="N16" s="153"/>
      <c r="O16" s="9"/>
      <c r="V16">
        <v>4</v>
      </c>
      <c r="W16">
        <v>0.14000000000000001</v>
      </c>
      <c r="X16">
        <v>0.24</v>
      </c>
    </row>
    <row r="17" spans="3:24" x14ac:dyDescent="0.15">
      <c r="C17" s="6">
        <f t="shared" si="5"/>
        <v>5</v>
      </c>
      <c r="D17" s="152">
        <f t="shared" si="0"/>
        <v>129.99604685270532</v>
      </c>
      <c r="E17" s="13">
        <f t="shared" si="1"/>
        <v>42.648637824632658</v>
      </c>
      <c r="F17" s="208">
        <f t="shared" si="6"/>
        <v>1.0179080930716871</v>
      </c>
      <c r="G17" s="208" t="str">
        <f t="shared" si="7"/>
        <v/>
      </c>
      <c r="H17" s="209">
        <f t="shared" si="2"/>
        <v>0.20921610207948871</v>
      </c>
      <c r="I17" s="32" t="str">
        <f t="shared" si="8"/>
        <v/>
      </c>
      <c r="J17" s="35">
        <f t="shared" si="3"/>
        <v>0.20921610207948871</v>
      </c>
      <c r="K17" s="101" t="str">
        <f t="shared" si="4"/>
        <v/>
      </c>
      <c r="L17" s="82"/>
      <c r="M17" s="153"/>
      <c r="N17" s="153"/>
      <c r="O17" s="9"/>
      <c r="V17">
        <v>5</v>
      </c>
      <c r="W17">
        <v>0.14000000000000001</v>
      </c>
      <c r="X17">
        <v>0.24</v>
      </c>
    </row>
    <row r="18" spans="3:24" x14ac:dyDescent="0.15">
      <c r="C18" s="6">
        <f t="shared" si="5"/>
        <v>6</v>
      </c>
      <c r="D18" s="152">
        <f t="shared" si="0"/>
        <v>149.53238717968014</v>
      </c>
      <c r="E18" s="13">
        <f t="shared" si="1"/>
        <v>63.816021521973767</v>
      </c>
      <c r="F18" s="208">
        <f t="shared" si="6"/>
        <v>0.90636159241921543</v>
      </c>
      <c r="G18" s="208" t="str">
        <f t="shared" si="7"/>
        <v/>
      </c>
      <c r="H18" s="209">
        <f t="shared" si="2"/>
        <v>0.18628935237982433</v>
      </c>
      <c r="I18" s="32" t="str">
        <f t="shared" si="8"/>
        <v/>
      </c>
      <c r="J18" s="35">
        <f t="shared" si="3"/>
        <v>0.18628935237982433</v>
      </c>
      <c r="K18" s="101" t="str">
        <f t="shared" si="4"/>
        <v/>
      </c>
      <c r="L18" s="82"/>
      <c r="M18" s="153"/>
      <c r="N18" s="153"/>
      <c r="O18" s="9"/>
      <c r="V18">
        <v>6</v>
      </c>
      <c r="W18">
        <v>0.14000000000000001</v>
      </c>
      <c r="X18">
        <v>0.2</v>
      </c>
    </row>
    <row r="19" spans="3:24" x14ac:dyDescent="0.15">
      <c r="C19" s="6">
        <f t="shared" si="5"/>
        <v>7</v>
      </c>
      <c r="D19" s="152">
        <f t="shared" si="0"/>
        <v>167.60322237099862</v>
      </c>
      <c r="E19" s="13">
        <f t="shared" si="1"/>
        <v>88.623442991927519</v>
      </c>
      <c r="F19" s="208">
        <f t="shared" si="6"/>
        <v>0.82456947347036669</v>
      </c>
      <c r="G19" s="208" t="str">
        <f t="shared" si="7"/>
        <v/>
      </c>
      <c r="H19" s="209">
        <f t="shared" si="2"/>
        <v>0.16947818011017335</v>
      </c>
      <c r="I19" s="32" t="str">
        <f t="shared" si="8"/>
        <v/>
      </c>
      <c r="J19" s="35">
        <f t="shared" si="3"/>
        <v>0.16947818011017335</v>
      </c>
      <c r="K19" s="101" t="str">
        <f t="shared" si="4"/>
        <v/>
      </c>
      <c r="L19" s="82"/>
      <c r="M19" s="153"/>
      <c r="N19" s="153"/>
      <c r="O19" s="9"/>
      <c r="V19">
        <v>7</v>
      </c>
      <c r="W19">
        <v>0.14000000000000001</v>
      </c>
      <c r="X19">
        <v>0.17499999999999999</v>
      </c>
    </row>
    <row r="20" spans="3:24" x14ac:dyDescent="0.15">
      <c r="C20" s="6">
        <f t="shared" si="5"/>
        <v>8</v>
      </c>
      <c r="D20" s="152">
        <f t="shared" si="0"/>
        <v>183.88290716193168</v>
      </c>
      <c r="E20" s="13">
        <f t="shared" si="1"/>
        <v>115.72632677800127</v>
      </c>
      <c r="F20" s="208">
        <f t="shared" si="6"/>
        <v>0.76357691526101967</v>
      </c>
      <c r="G20" s="208" t="str">
        <f t="shared" si="7"/>
        <v/>
      </c>
      <c r="H20" s="209">
        <f t="shared" si="2"/>
        <v>0.15694205295756489</v>
      </c>
      <c r="I20" s="32" t="str">
        <f t="shared" si="8"/>
        <v/>
      </c>
      <c r="J20" s="35">
        <f t="shared" si="3"/>
        <v>0.15694205295756489</v>
      </c>
      <c r="K20" s="101" t="str">
        <f t="shared" si="4"/>
        <v/>
      </c>
      <c r="L20" s="82"/>
      <c r="M20" s="153"/>
      <c r="N20" s="153"/>
      <c r="O20" s="9"/>
      <c r="V20">
        <v>8</v>
      </c>
      <c r="W20">
        <v>0.14000000000000001</v>
      </c>
      <c r="X20">
        <v>0.15</v>
      </c>
    </row>
    <row r="21" spans="3:24" x14ac:dyDescent="0.15">
      <c r="C21" s="6">
        <f t="shared" si="5"/>
        <v>9</v>
      </c>
      <c r="D21" s="152">
        <f t="shared" si="0"/>
        <v>198.2334947051672</v>
      </c>
      <c r="E21" s="13">
        <f t="shared" si="1"/>
        <v>143.67207460020708</v>
      </c>
      <c r="F21" s="208">
        <f t="shared" si="6"/>
        <v>0.71746053029504342</v>
      </c>
      <c r="G21" s="208" t="str">
        <f t="shared" si="7"/>
        <v/>
      </c>
      <c r="H21" s="209">
        <f t="shared" si="2"/>
        <v>0.14746350536545019</v>
      </c>
      <c r="I21" s="32" t="str">
        <f t="shared" si="8"/>
        <v/>
      </c>
      <c r="J21" s="35">
        <f t="shared" si="3"/>
        <v>0.14746350536545019</v>
      </c>
      <c r="K21" s="101" t="str">
        <f t="shared" si="4"/>
        <v/>
      </c>
      <c r="L21" s="82"/>
      <c r="M21" s="153"/>
      <c r="N21" s="153"/>
      <c r="O21" s="9"/>
      <c r="P21" s="82"/>
      <c r="V21">
        <v>9</v>
      </c>
      <c r="W21">
        <v>0.14000000000000001</v>
      </c>
      <c r="X21">
        <v>0.125</v>
      </c>
    </row>
    <row r="22" spans="3:24" x14ac:dyDescent="0.15">
      <c r="C22" s="6">
        <f t="shared" si="5"/>
        <v>10</v>
      </c>
      <c r="D22" s="152">
        <f t="shared" si="0"/>
        <v>210.66011566192304</v>
      </c>
      <c r="E22" s="13">
        <f t="shared" si="1"/>
        <v>171.15069631941589</v>
      </c>
      <c r="F22" s="208">
        <f t="shared" si="6"/>
        <v>0.68219447477151829</v>
      </c>
      <c r="G22" s="208">
        <f t="shared" si="7"/>
        <v>0.68219447477151829</v>
      </c>
      <c r="H22" s="209">
        <f t="shared" si="2"/>
        <v>0.14021508409581881</v>
      </c>
      <c r="I22" s="32" t="str">
        <f t="shared" si="8"/>
        <v/>
      </c>
      <c r="J22" s="35">
        <f t="shared" si="3"/>
        <v>0.14021508409581881</v>
      </c>
      <c r="K22" s="101">
        <f t="shared" si="4"/>
        <v>0.14021508409581881</v>
      </c>
      <c r="L22" s="82"/>
      <c r="M22" s="153"/>
      <c r="N22" s="153"/>
      <c r="O22" s="9"/>
      <c r="P22" s="82"/>
      <c r="V22">
        <v>10</v>
      </c>
      <c r="W22">
        <v>0.14000000000000001</v>
      </c>
      <c r="X22">
        <v>0.1</v>
      </c>
    </row>
    <row r="23" spans="3:24" x14ac:dyDescent="0.15">
      <c r="C23" s="6">
        <f t="shared" si="5"/>
        <v>11</v>
      </c>
      <c r="D23" s="152">
        <f t="shared" si="0"/>
        <v>221.26528627493616</v>
      </c>
      <c r="E23" s="13">
        <f t="shared" si="1"/>
        <v>197.14184188739878</v>
      </c>
      <c r="F23" s="208">
        <f t="shared" si="6"/>
        <v>0.6549753528104546</v>
      </c>
      <c r="G23" s="208">
        <f t="shared" si="7"/>
        <v>0.6549753528104546</v>
      </c>
      <c r="H23" s="209">
        <f t="shared" si="2"/>
        <v>0.13462059217903344</v>
      </c>
      <c r="I23" s="32" t="str">
        <f t="shared" si="8"/>
        <v/>
      </c>
      <c r="J23" s="35">
        <f t="shared" si="3"/>
        <v>0.13462059217903344</v>
      </c>
      <c r="K23" s="101">
        <f t="shared" si="4"/>
        <v>0.13462059217903344</v>
      </c>
      <c r="L23" s="9"/>
      <c r="M23" s="153"/>
      <c r="N23" s="153"/>
      <c r="O23" s="154"/>
      <c r="P23" s="82"/>
      <c r="V23">
        <v>11</v>
      </c>
      <c r="W23">
        <v>0.14000000000000001</v>
      </c>
      <c r="X23">
        <v>0.1</v>
      </c>
    </row>
    <row r="24" spans="3:24" x14ac:dyDescent="0.15">
      <c r="C24" s="6">
        <f t="shared" si="5"/>
        <v>12</v>
      </c>
      <c r="D24" s="152">
        <f t="shared" si="0"/>
        <v>230.20947061321465</v>
      </c>
      <c r="E24" s="13">
        <f t="shared" si="1"/>
        <v>220.96153080381706</v>
      </c>
      <c r="F24" s="208">
        <f t="shared" si="6"/>
        <v>0.6338084920408823</v>
      </c>
      <c r="G24" s="208">
        <f t="shared" si="7"/>
        <v>0.6338084920408823</v>
      </c>
      <c r="H24" s="209">
        <f t="shared" si="2"/>
        <v>0.13027005391962568</v>
      </c>
      <c r="I24" s="32" t="str">
        <f t="shared" si="8"/>
        <v/>
      </c>
      <c r="J24" s="35">
        <f t="shared" si="3"/>
        <v>0.13027005391962568</v>
      </c>
      <c r="L24" s="9"/>
      <c r="M24" s="9"/>
      <c r="N24" s="104"/>
      <c r="O24" s="9"/>
      <c r="P24" s="82"/>
      <c r="V24">
        <v>12</v>
      </c>
      <c r="W24">
        <v>0.14000000000000001</v>
      </c>
      <c r="X24">
        <v>0.1</v>
      </c>
    </row>
    <row r="25" spans="3:24" x14ac:dyDescent="0.15">
      <c r="C25" s="6">
        <f t="shared" si="5"/>
        <v>13</v>
      </c>
      <c r="D25" s="152">
        <f t="shared" si="0"/>
        <v>237.68068644881029</v>
      </c>
      <c r="E25" s="13">
        <f t="shared" si="1"/>
        <v>242.23830572135046</v>
      </c>
      <c r="F25" s="208">
        <f t="shared" si="6"/>
        <v>0.61724747565894422</v>
      </c>
      <c r="G25" s="208">
        <f t="shared" si="7"/>
        <v>0.61724747565894422</v>
      </c>
      <c r="H25" s="209">
        <f t="shared" si="2"/>
        <v>0.12686617952518206</v>
      </c>
      <c r="I25" s="32" t="str">
        <f t="shared" si="8"/>
        <v/>
      </c>
      <c r="J25" s="35">
        <f t="shared" si="3"/>
        <v>0.12686617952518206</v>
      </c>
      <c r="L25" s="9"/>
      <c r="M25" s="9"/>
      <c r="N25" s="104"/>
      <c r="O25" s="82"/>
      <c r="P25" s="82"/>
      <c r="V25">
        <v>13</v>
      </c>
      <c r="W25">
        <v>0.14000000000000001</v>
      </c>
      <c r="X25">
        <v>0.1</v>
      </c>
    </row>
    <row r="26" spans="3:24" x14ac:dyDescent="0.15">
      <c r="C26" s="6">
        <f t="shared" si="5"/>
        <v>14</v>
      </c>
      <c r="D26" s="152">
        <f t="shared" si="0"/>
        <v>243.87314265619261</v>
      </c>
      <c r="E26" s="13">
        <f t="shared" si="1"/>
        <v>260.85271012789673</v>
      </c>
      <c r="F26" s="208">
        <f t="shared" si="6"/>
        <v>0.60422597754574614</v>
      </c>
      <c r="G26" s="208">
        <f t="shared" si="7"/>
        <v>0.60422597754574614</v>
      </c>
      <c r="H26" s="209">
        <f t="shared" si="2"/>
        <v>0.12418980127745863</v>
      </c>
      <c r="I26" s="32" t="str">
        <f t="shared" si="8"/>
        <v/>
      </c>
      <c r="J26" s="35">
        <f t="shared" si="3"/>
        <v>0.12418980127745863</v>
      </c>
      <c r="L26" s="9"/>
      <c r="M26" s="9"/>
      <c r="N26" s="104"/>
      <c r="O26" s="82"/>
      <c r="P26" s="82"/>
      <c r="V26">
        <v>14</v>
      </c>
      <c r="W26">
        <v>0.14000000000000001</v>
      </c>
      <c r="X26">
        <v>0.1</v>
      </c>
    </row>
    <row r="27" spans="3:24" x14ac:dyDescent="0.15">
      <c r="C27" s="6">
        <f t="shared" si="5"/>
        <v>15</v>
      </c>
      <c r="D27" s="152">
        <f t="shared" si="0"/>
        <v>248.97353047749453</v>
      </c>
      <c r="E27" s="13">
        <f t="shared" si="1"/>
        <v>276.86645065579546</v>
      </c>
      <c r="F27" s="208">
        <f t="shared" si="6"/>
        <v>0.59394659748618184</v>
      </c>
      <c r="G27" s="208">
        <f t="shared" si="7"/>
        <v>0.59394659748618184</v>
      </c>
      <c r="H27" s="209">
        <f t="shared" si="2"/>
        <v>0.12207702523952982</v>
      </c>
      <c r="I27" s="32" t="str">
        <f t="shared" si="8"/>
        <v/>
      </c>
      <c r="J27" s="35">
        <f t="shared" si="3"/>
        <v>0.12207702523952982</v>
      </c>
      <c r="L27" s="9"/>
      <c r="M27" s="9"/>
      <c r="N27" s="104"/>
      <c r="O27" s="82"/>
      <c r="P27" s="82"/>
      <c r="V27">
        <v>15</v>
      </c>
      <c r="W27">
        <v>0.14000000000000001</v>
      </c>
      <c r="X27">
        <v>0.1</v>
      </c>
    </row>
    <row r="28" spans="3:24" x14ac:dyDescent="0.15">
      <c r="C28" s="6">
        <f t="shared" si="5"/>
        <v>16</v>
      </c>
      <c r="D28" s="152">
        <f t="shared" si="0"/>
        <v>253.15316757529988</v>
      </c>
      <c r="E28" s="13">
        <f t="shared" si="1"/>
        <v>290.45715257558874</v>
      </c>
      <c r="F28" s="208">
        <f t="shared" si="6"/>
        <v>0.5858057321415937</v>
      </c>
      <c r="G28" s="208">
        <f t="shared" si="7"/>
        <v>0.5858057321415937</v>
      </c>
      <c r="H28" s="209">
        <f t="shared" si="2"/>
        <v>0.12040378958442362</v>
      </c>
      <c r="I28" s="32" t="str">
        <f t="shared" si="8"/>
        <v/>
      </c>
      <c r="J28" s="35">
        <f t="shared" si="3"/>
        <v>0.12040378958442362</v>
      </c>
      <c r="L28" s="9"/>
      <c r="M28" s="9"/>
      <c r="N28" s="104"/>
      <c r="O28" s="82"/>
      <c r="P28" s="82"/>
      <c r="V28">
        <v>16</v>
      </c>
      <c r="W28">
        <v>0.14000000000000001</v>
      </c>
      <c r="X28">
        <v>0.1</v>
      </c>
    </row>
    <row r="29" spans="3:24" x14ac:dyDescent="0.15">
      <c r="C29" s="6">
        <f t="shared" si="5"/>
        <v>17</v>
      </c>
      <c r="D29" s="152">
        <f t="shared" si="0"/>
        <v>256.56428075813568</v>
      </c>
      <c r="E29" s="13">
        <f t="shared" si="1"/>
        <v>301.86587078366614</v>
      </c>
      <c r="F29" s="208">
        <f t="shared" si="6"/>
        <v>0.57934173906223574</v>
      </c>
      <c r="G29" s="208">
        <f t="shared" si="7"/>
        <v>0.57934173906223574</v>
      </c>
      <c r="H29" s="209">
        <f t="shared" si="2"/>
        <v>0.11907521046697982</v>
      </c>
      <c r="I29" s="32" t="str">
        <f t="shared" si="8"/>
        <v/>
      </c>
      <c r="J29" s="35">
        <f t="shared" si="3"/>
        <v>0.11907521046697982</v>
      </c>
      <c r="L29" s="9"/>
      <c r="M29" s="9"/>
      <c r="N29" s="104"/>
      <c r="O29" s="82"/>
      <c r="P29" s="82"/>
      <c r="V29">
        <v>17</v>
      </c>
      <c r="W29">
        <v>0.14000000000000001</v>
      </c>
      <c r="X29">
        <v>0.1</v>
      </c>
    </row>
    <row r="30" spans="3:24" x14ac:dyDescent="0.15">
      <c r="C30" s="6">
        <f t="shared" si="5"/>
        <v>18</v>
      </c>
      <c r="D30" s="152">
        <f t="shared" si="0"/>
        <v>259.33901586017458</v>
      </c>
      <c r="E30" s="13">
        <f t="shared" si="1"/>
        <v>311.3588207498882</v>
      </c>
      <c r="F30" s="208">
        <f t="shared" si="6"/>
        <v>0.57419847758541165</v>
      </c>
      <c r="G30" s="208">
        <f t="shared" si="7"/>
        <v>0.57419847758541165</v>
      </c>
      <c r="H30" s="209">
        <f t="shared" si="2"/>
        <v>0.11801808838937694</v>
      </c>
      <c r="I30" s="32" t="str">
        <f t="shared" si="8"/>
        <v/>
      </c>
      <c r="J30" s="35">
        <f t="shared" si="3"/>
        <v>0.11801808838937694</v>
      </c>
      <c r="L30" s="9"/>
      <c r="M30" s="9"/>
      <c r="N30" s="104"/>
      <c r="O30" s="82"/>
      <c r="P30" s="82"/>
      <c r="V30">
        <v>18</v>
      </c>
      <c r="W30">
        <v>0.14000000000000001</v>
      </c>
      <c r="X30">
        <v>0.1</v>
      </c>
    </row>
    <row r="31" spans="3:24" x14ac:dyDescent="0.15">
      <c r="C31" s="6">
        <f t="shared" si="5"/>
        <v>19</v>
      </c>
      <c r="D31" s="152">
        <f t="shared" si="0"/>
        <v>261.59011221185176</v>
      </c>
      <c r="E31" s="13">
        <f t="shared" si="1"/>
        <v>319.20180672537418</v>
      </c>
      <c r="F31" s="208">
        <f t="shared" si="6"/>
        <v>0.57009920653729851</v>
      </c>
      <c r="G31" s="208">
        <f t="shared" si="7"/>
        <v>0.57009920653729851</v>
      </c>
      <c r="H31" s="209">
        <f t="shared" si="2"/>
        <v>0.11717554325598922</v>
      </c>
      <c r="I31" s="32" t="str">
        <f t="shared" ref="I31:I58" si="9">IF(OR(C31&lt;plus_age,C31&gt;tmax),"",IF(C31=plus_age,1,I30*EXP(-H30-F)))</f>
        <v/>
      </c>
      <c r="J31" s="35">
        <f t="shared" si="3"/>
        <v>0.11717554325598922</v>
      </c>
      <c r="L31" s="34" t="s">
        <v>94</v>
      </c>
      <c r="M31" s="9"/>
      <c r="N31" s="104"/>
      <c r="O31" s="82"/>
      <c r="P31" s="82"/>
      <c r="V31">
        <v>19</v>
      </c>
      <c r="W31">
        <v>0.14000000000000001</v>
      </c>
      <c r="X31">
        <v>0.1</v>
      </c>
    </row>
    <row r="32" spans="3:24" x14ac:dyDescent="0.15">
      <c r="C32" s="6">
        <f t="shared" si="5"/>
        <v>20</v>
      </c>
      <c r="D32" s="152">
        <f t="shared" si="0"/>
        <v>263.41249326469494</v>
      </c>
      <c r="E32" s="13">
        <f t="shared" si="1"/>
        <v>325.64468920941823</v>
      </c>
      <c r="F32" s="208">
        <f t="shared" si="6"/>
        <v>0.56682759214310763</v>
      </c>
      <c r="G32" s="208">
        <f t="shared" si="7"/>
        <v>0.56682759214310763</v>
      </c>
      <c r="H32" s="209">
        <f t="shared" si="2"/>
        <v>0.11650311082744425</v>
      </c>
      <c r="I32" s="32" t="str">
        <f t="shared" si="9"/>
        <v/>
      </c>
      <c r="J32" s="35">
        <f t="shared" si="3"/>
        <v>0.11650311082744425</v>
      </c>
      <c r="L32" s="102">
        <f>AVERAGE(J16:J47)</f>
        <v>0.13117188645212235</v>
      </c>
      <c r="M32" s="9"/>
      <c r="N32" s="104"/>
      <c r="O32" s="82"/>
      <c r="P32" s="82"/>
      <c r="V32">
        <v>20</v>
      </c>
      <c r="W32">
        <v>0.14000000000000001</v>
      </c>
      <c r="X32">
        <v>0.1</v>
      </c>
    </row>
    <row r="33" spans="3:24" x14ac:dyDescent="0.15">
      <c r="C33" s="6">
        <f t="shared" si="5"/>
        <v>21</v>
      </c>
      <c r="D33" s="152">
        <f t="shared" si="0"/>
        <v>264.88527549781969</v>
      </c>
      <c r="E33" s="13">
        <f t="shared" si="1"/>
        <v>330.91314563441625</v>
      </c>
      <c r="F33" s="208">
        <f t="shared" si="6"/>
        <v>0.56421368656372672</v>
      </c>
      <c r="G33" s="208">
        <f t="shared" si="7"/>
        <v>0.56421368656372672</v>
      </c>
      <c r="H33" s="209">
        <f t="shared" si="2"/>
        <v>0.11596586081416296</v>
      </c>
      <c r="I33" s="32" t="str">
        <f t="shared" si="9"/>
        <v/>
      </c>
      <c r="J33" s="35">
        <f t="shared" si="3"/>
        <v>0.11596586081416296</v>
      </c>
      <c r="L33" s="9"/>
      <c r="M33" s="9"/>
      <c r="N33" s="104"/>
      <c r="O33" s="82"/>
      <c r="P33" s="82"/>
      <c r="V33">
        <v>21</v>
      </c>
      <c r="W33">
        <v>0.14000000000000001</v>
      </c>
      <c r="X33">
        <v>0.1</v>
      </c>
    </row>
    <row r="34" spans="3:24" x14ac:dyDescent="0.15">
      <c r="C34" s="6">
        <f t="shared" si="5"/>
        <v>22</v>
      </c>
      <c r="D34" s="152">
        <f t="shared" si="0"/>
        <v>266.073882940705</v>
      </c>
      <c r="E34" s="13">
        <f t="shared" si="1"/>
        <v>335.20536974803514</v>
      </c>
      <c r="F34" s="208">
        <f t="shared" si="6"/>
        <v>0.56212344112343482</v>
      </c>
      <c r="G34" s="208">
        <f t="shared" si="7"/>
        <v>0.56212344112343482</v>
      </c>
      <c r="H34" s="209">
        <f t="shared" si="2"/>
        <v>0.11553624147388672</v>
      </c>
      <c r="I34" s="32" t="str">
        <f t="shared" si="9"/>
        <v/>
      </c>
      <c r="J34" s="35">
        <f t="shared" si="3"/>
        <v>0.11553624147388672</v>
      </c>
      <c r="L34" s="9"/>
      <c r="M34" s="9"/>
      <c r="N34" s="104"/>
      <c r="O34" s="82"/>
      <c r="P34" s="82"/>
      <c r="V34">
        <v>22</v>
      </c>
      <c r="W34">
        <v>0.14000000000000001</v>
      </c>
      <c r="X34">
        <v>0.1</v>
      </c>
    </row>
    <row r="35" spans="3:24" x14ac:dyDescent="0.15">
      <c r="C35" s="6">
        <f t="shared" si="5"/>
        <v>23</v>
      </c>
      <c r="D35" s="152">
        <f t="shared" si="0"/>
        <v>267.03208408248298</v>
      </c>
      <c r="E35" s="13">
        <f t="shared" si="1"/>
        <v>338.69189058278442</v>
      </c>
      <c r="F35" s="208">
        <f t="shared" si="6"/>
        <v>0.5604507733963604</v>
      </c>
      <c r="G35" s="208">
        <f t="shared" si="7"/>
        <v>0.5604507733963604</v>
      </c>
      <c r="H35" s="209">
        <f t="shared" si="2"/>
        <v>0.11519244911747011</v>
      </c>
      <c r="I35" s="32" t="str">
        <f t="shared" si="9"/>
        <v/>
      </c>
      <c r="J35" s="35">
        <f t="shared" si="3"/>
        <v>0.11519244911747011</v>
      </c>
      <c r="L35" s="82"/>
      <c r="M35" s="82"/>
      <c r="N35" s="103"/>
      <c r="O35" s="82"/>
      <c r="P35" s="82"/>
      <c r="V35">
        <v>23</v>
      </c>
      <c r="W35">
        <v>0.14000000000000001</v>
      </c>
      <c r="X35">
        <v>0.1</v>
      </c>
    </row>
    <row r="36" spans="3:24" x14ac:dyDescent="0.15">
      <c r="C36" s="6">
        <f t="shared" si="5"/>
        <v>24</v>
      </c>
      <c r="D36" s="152">
        <f t="shared" si="0"/>
        <v>267.80385423457824</v>
      </c>
      <c r="E36" s="13">
        <f t="shared" si="1"/>
        <v>341.51720297748983</v>
      </c>
      <c r="F36" s="208">
        <f t="shared" si="6"/>
        <v>0.55911150667574416</v>
      </c>
      <c r="G36" s="208">
        <f t="shared" si="7"/>
        <v>0.55911150667574416</v>
      </c>
      <c r="H36" s="209">
        <f t="shared" si="2"/>
        <v>0.11491718245553939</v>
      </c>
      <c r="I36" s="32" t="str">
        <f t="shared" si="9"/>
        <v/>
      </c>
      <c r="J36" s="35">
        <f t="shared" si="3"/>
        <v>0.11491718245553939</v>
      </c>
      <c r="L36" s="82"/>
      <c r="M36" s="82"/>
      <c r="N36" s="103"/>
      <c r="O36" s="82"/>
      <c r="P36" s="82"/>
      <c r="V36">
        <v>24</v>
      </c>
      <c r="W36">
        <v>0.14000000000000001</v>
      </c>
      <c r="X36">
        <v>0.1</v>
      </c>
    </row>
    <row r="37" spans="3:24" ht="14.25" thickBot="1" x14ac:dyDescent="0.2">
      <c r="C37" s="6">
        <f t="shared" si="5"/>
        <v>25</v>
      </c>
      <c r="D37" s="152">
        <f t="shared" si="0"/>
        <v>268.42502139586395</v>
      </c>
      <c r="E37" s="13">
        <f t="shared" si="1"/>
        <v>343.80232198170785</v>
      </c>
      <c r="F37" s="208">
        <f t="shared" si="6"/>
        <v>0.55803870053400062</v>
      </c>
      <c r="G37" s="208">
        <f t="shared" si="7"/>
        <v>0.55803870053400062</v>
      </c>
      <c r="H37" s="209">
        <f t="shared" si="2"/>
        <v>0.11469668286349349</v>
      </c>
      <c r="I37" s="32" t="str">
        <f t="shared" si="9"/>
        <v/>
      </c>
      <c r="J37" s="36">
        <f t="shared" si="3"/>
        <v>0.11469668286349349</v>
      </c>
      <c r="V37">
        <v>25</v>
      </c>
      <c r="W37">
        <v>0.14000000000000001</v>
      </c>
      <c r="X37">
        <v>0.1</v>
      </c>
    </row>
    <row r="38" spans="3:24" x14ac:dyDescent="0.15">
      <c r="C38" s="6">
        <f t="shared" si="5"/>
        <v>26</v>
      </c>
      <c r="D38" s="152">
        <f t="shared" si="0"/>
        <v>268.92468696407281</v>
      </c>
      <c r="E38" s="13">
        <f t="shared" si="1"/>
        <v>345.64769054786802</v>
      </c>
      <c r="F38" s="208">
        <f t="shared" si="6"/>
        <v>0.5571790272348125</v>
      </c>
      <c r="G38" s="208">
        <f t="shared" si="7"/>
        <v>0.5571790272348125</v>
      </c>
      <c r="H38" s="209">
        <f t="shared" si="2"/>
        <v>0.11451998960607453</v>
      </c>
      <c r="I38" s="32" t="str">
        <f t="shared" si="9"/>
        <v/>
      </c>
      <c r="J38" s="37">
        <f t="shared" si="3"/>
        <v>0.11451998960607453</v>
      </c>
      <c r="V38">
        <v>26</v>
      </c>
      <c r="W38">
        <v>0.14000000000000001</v>
      </c>
      <c r="X38">
        <v>0.1</v>
      </c>
    </row>
    <row r="39" spans="3:24" x14ac:dyDescent="0.15">
      <c r="C39" s="6">
        <f>IF(C38&lt;tmax,C38+1,"")</f>
        <v>27</v>
      </c>
      <c r="D39" s="152">
        <f t="shared" si="0"/>
        <v>269.3264314868332</v>
      </c>
      <c r="E39" s="13">
        <f t="shared" si="1"/>
        <v>347.13609510631477</v>
      </c>
      <c r="F39" s="208">
        <f t="shared" si="6"/>
        <v>0.55648994271053187</v>
      </c>
      <c r="G39" s="208">
        <f t="shared" si="7"/>
        <v>0.55648994271053187</v>
      </c>
      <c r="H39" s="209">
        <f t="shared" si="2"/>
        <v>0.11437835837320139</v>
      </c>
      <c r="I39" s="32" t="str">
        <f t="shared" si="9"/>
        <v/>
      </c>
      <c r="J39" s="37">
        <f t="shared" si="3"/>
        <v>0.11437835837320139</v>
      </c>
      <c r="V39">
        <v>27</v>
      </c>
      <c r="W39">
        <v>0.14000000000000001</v>
      </c>
      <c r="X39">
        <v>0.1</v>
      </c>
    </row>
    <row r="40" spans="3:24" x14ac:dyDescent="0.15">
      <c r="C40" s="6">
        <f t="shared" ref="C40:C58" si="10">IF(C39&lt;tmax,C39+1," ")</f>
        <v>28</v>
      </c>
      <c r="D40" s="152">
        <f t="shared" si="0"/>
        <v>269.64932522084746</v>
      </c>
      <c r="E40" s="13">
        <f t="shared" si="1"/>
        <v>348.33539606470401</v>
      </c>
      <c r="F40" s="208">
        <f t="shared" si="6"/>
        <v>0.55593746671614386</v>
      </c>
      <c r="G40" s="208">
        <f t="shared" si="7"/>
        <v>0.55593746671614386</v>
      </c>
      <c r="H40" s="209">
        <f t="shared" si="2"/>
        <v>0.1142648050231248</v>
      </c>
      <c r="I40" s="32" t="str">
        <f t="shared" si="9"/>
        <v/>
      </c>
      <c r="J40" s="37">
        <f t="shared" si="3"/>
        <v>0.1142648050231248</v>
      </c>
      <c r="V40">
        <v>28</v>
      </c>
      <c r="W40">
        <v>0.14000000000000001</v>
      </c>
      <c r="X40">
        <v>0.1</v>
      </c>
    </row>
    <row r="41" spans="3:24" x14ac:dyDescent="0.15">
      <c r="C41" s="6">
        <f t="shared" si="10"/>
        <v>29</v>
      </c>
      <c r="D41" s="152">
        <f t="shared" si="0"/>
        <v>269.90876711736149</v>
      </c>
      <c r="E41" s="13">
        <f t="shared" si="1"/>
        <v>349.30097907072616</v>
      </c>
      <c r="F41" s="208">
        <f t="shared" si="6"/>
        <v>0.55549443369556117</v>
      </c>
      <c r="G41" s="208">
        <f t="shared" si="7"/>
        <v>0.55549443369556117</v>
      </c>
      <c r="H41" s="209">
        <f t="shared" si="2"/>
        <v>0.11417374607360894</v>
      </c>
      <c r="I41" s="32" t="str">
        <f t="shared" si="9"/>
        <v/>
      </c>
      <c r="J41" s="37">
        <f t="shared" si="3"/>
        <v>0.11417374607360894</v>
      </c>
      <c r="V41">
        <v>29</v>
      </c>
      <c r="W41">
        <v>0.14000000000000001</v>
      </c>
      <c r="X41">
        <v>0.1</v>
      </c>
    </row>
    <row r="42" spans="3:24" x14ac:dyDescent="0.15">
      <c r="C42" s="6">
        <f t="shared" si="10"/>
        <v>30</v>
      </c>
      <c r="D42" s="152">
        <f t="shared" si="0"/>
        <v>270.11717633436456</v>
      </c>
      <c r="E42" s="13">
        <f t="shared" si="1"/>
        <v>350.07789404183228</v>
      </c>
      <c r="F42" s="208">
        <f t="shared" si="6"/>
        <v>0.5551391097966375</v>
      </c>
      <c r="G42" s="208">
        <f t="shared" si="7"/>
        <v>0.5551391097966375</v>
      </c>
      <c r="H42" s="209">
        <f t="shared" si="2"/>
        <v>0.11410071444962003</v>
      </c>
      <c r="I42" s="32" t="str">
        <f t="shared" si="9"/>
        <v/>
      </c>
      <c r="J42" s="37">
        <f t="shared" si="3"/>
        <v>0.11410071444962003</v>
      </c>
      <c r="V42">
        <v>30</v>
      </c>
      <c r="W42">
        <v>0.14000000000000001</v>
      </c>
      <c r="X42">
        <v>0.1</v>
      </c>
    </row>
    <row r="43" spans="3:24" x14ac:dyDescent="0.15">
      <c r="C43" s="6">
        <f t="shared" si="10"/>
        <v>31</v>
      </c>
      <c r="D43" s="152">
        <f t="shared" si="0"/>
        <v>270.28455901120424</v>
      </c>
      <c r="E43" s="13">
        <f t="shared" si="1"/>
        <v>350.70268476289158</v>
      </c>
      <c r="F43" s="208">
        <f t="shared" si="6"/>
        <v>0.55485409629913518</v>
      </c>
      <c r="G43" s="208">
        <f t="shared" si="7"/>
        <v>0.55485409629913518</v>
      </c>
      <c r="H43" s="209">
        <f t="shared" si="2"/>
        <v>0.11404213409900356</v>
      </c>
      <c r="I43" s="32" t="str">
        <f t="shared" si="9"/>
        <v/>
      </c>
      <c r="J43" s="37">
        <f t="shared" si="3"/>
        <v>0.11404213409900356</v>
      </c>
      <c r="V43">
        <v>31</v>
      </c>
      <c r="W43">
        <v>0.14000000000000001</v>
      </c>
      <c r="X43">
        <v>0.1</v>
      </c>
    </row>
    <row r="44" spans="3:24" x14ac:dyDescent="0.15">
      <c r="C44" s="6">
        <f t="shared" si="10"/>
        <v>32</v>
      </c>
      <c r="D44" s="152">
        <f t="shared" si="0"/>
        <v>270.41897077959641</v>
      </c>
      <c r="E44" s="13">
        <f t="shared" si="1"/>
        <v>351.20493114907151</v>
      </c>
      <c r="F44" s="208">
        <f t="shared" si="6"/>
        <v>0.5546254581345893</v>
      </c>
      <c r="G44" s="208">
        <f t="shared" si="7"/>
        <v>0.5546254581345893</v>
      </c>
      <c r="H44" s="209">
        <f t="shared" si="2"/>
        <v>0.11399514087250454</v>
      </c>
      <c r="I44" s="32" t="str">
        <f t="shared" si="9"/>
        <v/>
      </c>
      <c r="J44" s="37">
        <f t="shared" si="3"/>
        <v>0.11399514087250454</v>
      </c>
      <c r="V44">
        <v>32</v>
      </c>
      <c r="W44">
        <v>0.14000000000000001</v>
      </c>
      <c r="X44">
        <v>0.1</v>
      </c>
    </row>
    <row r="45" spans="3:24" x14ac:dyDescent="0.15">
      <c r="C45" s="6">
        <f t="shared" si="10"/>
        <v>33</v>
      </c>
      <c r="D45" s="152">
        <f t="shared" si="0"/>
        <v>270.5268928986805</v>
      </c>
      <c r="E45" s="13">
        <f t="shared" si="1"/>
        <v>351.60853521533858</v>
      </c>
      <c r="F45" s="208">
        <f t="shared" si="6"/>
        <v>0.55444202999357883</v>
      </c>
      <c r="G45" s="208">
        <f t="shared" si="7"/>
        <v>0.55444202999357883</v>
      </c>
      <c r="H45" s="209">
        <f t="shared" si="2"/>
        <v>0.11395743990427852</v>
      </c>
      <c r="I45" s="32" t="str">
        <f t="shared" si="9"/>
        <v/>
      </c>
      <c r="J45" s="37">
        <f t="shared" si="3"/>
        <v>0.11395743990427852</v>
      </c>
      <c r="V45">
        <v>33</v>
      </c>
      <c r="W45">
        <v>0.14000000000000001</v>
      </c>
      <c r="X45">
        <v>0.1</v>
      </c>
    </row>
    <row r="46" spans="3:24" x14ac:dyDescent="0.15">
      <c r="C46" s="6">
        <f t="shared" si="10"/>
        <v>34</v>
      </c>
      <c r="D46" s="152">
        <f t="shared" si="0"/>
        <v>270.61353731896639</v>
      </c>
      <c r="E46" s="13">
        <f t="shared" si="1"/>
        <v>351.93278451044529</v>
      </c>
      <c r="F46" s="208">
        <f t="shared" si="6"/>
        <v>0.554294862990376</v>
      </c>
      <c r="G46" s="208">
        <f t="shared" si="7"/>
        <v>0.554294862990376</v>
      </c>
      <c r="H46" s="209">
        <f t="shared" si="2"/>
        <v>0.11392719188191346</v>
      </c>
      <c r="I46" s="32" t="str">
        <f t="shared" si="9"/>
        <v/>
      </c>
      <c r="J46" s="37">
        <f t="shared" si="3"/>
        <v>0.11392719188191346</v>
      </c>
      <c r="V46">
        <v>34</v>
      </c>
      <c r="W46">
        <v>0.14000000000000001</v>
      </c>
      <c r="X46">
        <v>0.1</v>
      </c>
    </row>
    <row r="47" spans="3:24" x14ac:dyDescent="0.15">
      <c r="C47" s="6">
        <f t="shared" si="10"/>
        <v>35</v>
      </c>
      <c r="D47" s="152">
        <f t="shared" si="0"/>
        <v>270.68309357513044</v>
      </c>
      <c r="E47" s="13">
        <f t="shared" si="1"/>
        <v>352.19322594878497</v>
      </c>
      <c r="F47" s="208">
        <f t="shared" si="6"/>
        <v>0.5541767828686559</v>
      </c>
      <c r="G47" s="208">
        <f t="shared" si="7"/>
        <v>0.5541767828686559</v>
      </c>
      <c r="H47" s="209">
        <f t="shared" si="2"/>
        <v>0.11390292224208301</v>
      </c>
      <c r="I47" s="32">
        <f t="shared" si="9"/>
        <v>1</v>
      </c>
      <c r="J47" s="37">
        <f t="shared" si="3"/>
        <v>0.11390292224208301</v>
      </c>
    </row>
    <row r="48" spans="3:24" x14ac:dyDescent="0.15">
      <c r="C48" s="6" t="str">
        <f t="shared" si="10"/>
        <v xml:space="preserve"> </v>
      </c>
      <c r="D48" s="41" t="str">
        <f t="shared" ref="D48:D58" si="11">IF(C48&gt;tmax," ",linf*(1-EXP(-k*(C48-t0+offset-shift))))</f>
        <v xml:space="preserve"> </v>
      </c>
      <c r="E48" s="13" t="str">
        <f t="shared" ref="E48:E58" si="12">IF(C48&gt;tmax," ",a*(D48)^b)</f>
        <v xml:space="preserve"> </v>
      </c>
      <c r="F48" s="30" t="str">
        <f t="shared" si="6"/>
        <v xml:space="preserve"> </v>
      </c>
      <c r="G48" s="30" t="str">
        <f t="shared" si="7"/>
        <v/>
      </c>
      <c r="H48" s="31" t="str">
        <f t="shared" si="2"/>
        <v/>
      </c>
      <c r="I48" s="32" t="str">
        <f t="shared" si="9"/>
        <v/>
      </c>
      <c r="J48" s="37">
        <f t="shared" si="3"/>
        <v>0.11390292224208301</v>
      </c>
      <c r="N48" s="44" t="s">
        <v>5</v>
      </c>
    </row>
    <row r="49" spans="3:10" x14ac:dyDescent="0.15">
      <c r="C49" s="6" t="str">
        <f t="shared" si="10"/>
        <v xml:space="preserve"> </v>
      </c>
      <c r="D49" s="41" t="str">
        <f t="shared" si="11"/>
        <v xml:space="preserve"> </v>
      </c>
      <c r="E49" s="13" t="str">
        <f t="shared" si="12"/>
        <v xml:space="preserve"> </v>
      </c>
      <c r="F49" s="30" t="str">
        <f t="shared" si="6"/>
        <v xml:space="preserve"> </v>
      </c>
      <c r="G49" s="30" t="str">
        <f t="shared" si="7"/>
        <v/>
      </c>
      <c r="H49" s="31" t="str">
        <f t="shared" si="2"/>
        <v/>
      </c>
      <c r="I49" s="32" t="str">
        <f t="shared" si="9"/>
        <v/>
      </c>
      <c r="J49" s="37">
        <f t="shared" si="3"/>
        <v>0.11390292224208301</v>
      </c>
    </row>
    <row r="50" spans="3:10" x14ac:dyDescent="0.15">
      <c r="C50" s="6" t="str">
        <f t="shared" si="10"/>
        <v xml:space="preserve"> </v>
      </c>
      <c r="D50" s="41" t="str">
        <f t="shared" si="11"/>
        <v xml:space="preserve"> </v>
      </c>
      <c r="E50" s="13" t="str">
        <f t="shared" si="12"/>
        <v xml:space="preserve"> </v>
      </c>
      <c r="F50" s="30" t="str">
        <f t="shared" si="6"/>
        <v xml:space="preserve"> </v>
      </c>
      <c r="G50" s="30" t="str">
        <f t="shared" si="7"/>
        <v/>
      </c>
      <c r="H50" s="31" t="str">
        <f t="shared" si="2"/>
        <v/>
      </c>
      <c r="I50" s="32" t="str">
        <f t="shared" si="9"/>
        <v/>
      </c>
      <c r="J50" s="37">
        <f t="shared" si="3"/>
        <v>0.11390292224208301</v>
      </c>
    </row>
    <row r="51" spans="3:10" x14ac:dyDescent="0.15">
      <c r="C51" s="6" t="str">
        <f t="shared" si="10"/>
        <v xml:space="preserve"> </v>
      </c>
      <c r="D51" s="41" t="str">
        <f t="shared" si="11"/>
        <v xml:space="preserve"> </v>
      </c>
      <c r="E51" s="13" t="str">
        <f t="shared" si="12"/>
        <v xml:space="preserve"> </v>
      </c>
      <c r="F51" s="30" t="str">
        <f t="shared" si="6"/>
        <v xml:space="preserve"> </v>
      </c>
      <c r="G51" s="30" t="str">
        <f t="shared" si="7"/>
        <v/>
      </c>
      <c r="H51" s="31" t="str">
        <f t="shared" si="2"/>
        <v/>
      </c>
      <c r="I51" s="32" t="str">
        <f t="shared" si="9"/>
        <v/>
      </c>
      <c r="J51" s="37">
        <f t="shared" si="3"/>
        <v>0.11390292224208301</v>
      </c>
    </row>
    <row r="52" spans="3:10" x14ac:dyDescent="0.15">
      <c r="C52" s="6" t="str">
        <f t="shared" si="10"/>
        <v xml:space="preserve"> </v>
      </c>
      <c r="D52" s="41" t="str">
        <f t="shared" si="11"/>
        <v xml:space="preserve"> </v>
      </c>
      <c r="E52" s="13" t="str">
        <f t="shared" si="12"/>
        <v xml:space="preserve"> </v>
      </c>
      <c r="F52" s="30" t="str">
        <f t="shared" si="6"/>
        <v xml:space="preserve"> </v>
      </c>
      <c r="G52" s="30" t="str">
        <f t="shared" si="7"/>
        <v/>
      </c>
      <c r="H52" s="31" t="str">
        <f t="shared" si="2"/>
        <v/>
      </c>
      <c r="I52" s="32" t="str">
        <f t="shared" si="9"/>
        <v/>
      </c>
      <c r="J52" s="37">
        <f t="shared" si="3"/>
        <v>0.11390292224208301</v>
      </c>
    </row>
    <row r="53" spans="3:10" x14ac:dyDescent="0.15">
      <c r="C53" s="6" t="str">
        <f t="shared" si="10"/>
        <v xml:space="preserve"> </v>
      </c>
      <c r="D53" s="41" t="str">
        <f t="shared" si="11"/>
        <v xml:space="preserve"> </v>
      </c>
      <c r="E53" s="13" t="str">
        <f t="shared" si="12"/>
        <v xml:space="preserve"> </v>
      </c>
      <c r="F53" s="30" t="str">
        <f t="shared" si="6"/>
        <v xml:space="preserve"> </v>
      </c>
      <c r="G53" s="30" t="str">
        <f t="shared" si="7"/>
        <v/>
      </c>
      <c r="H53" s="31" t="str">
        <f t="shared" si="2"/>
        <v/>
      </c>
      <c r="I53" s="32" t="str">
        <f t="shared" si="9"/>
        <v/>
      </c>
      <c r="J53" s="37">
        <f t="shared" si="3"/>
        <v>0.11390292224208301</v>
      </c>
    </row>
    <row r="54" spans="3:10" x14ac:dyDescent="0.15">
      <c r="C54" s="6" t="str">
        <f t="shared" si="10"/>
        <v xml:space="preserve"> </v>
      </c>
      <c r="D54" s="41" t="str">
        <f t="shared" si="11"/>
        <v xml:space="preserve"> </v>
      </c>
      <c r="E54" s="13" t="str">
        <f t="shared" si="12"/>
        <v xml:space="preserve"> </v>
      </c>
      <c r="F54" s="30" t="str">
        <f t="shared" si="6"/>
        <v xml:space="preserve"> </v>
      </c>
      <c r="G54" s="30" t="str">
        <f t="shared" si="7"/>
        <v/>
      </c>
      <c r="H54" s="31" t="str">
        <f t="shared" si="2"/>
        <v/>
      </c>
      <c r="I54" s="32" t="str">
        <f t="shared" si="9"/>
        <v/>
      </c>
      <c r="J54" s="37">
        <f t="shared" si="3"/>
        <v>0.11390292224208301</v>
      </c>
    </row>
    <row r="55" spans="3:10" x14ac:dyDescent="0.15">
      <c r="C55" s="6" t="str">
        <f t="shared" si="10"/>
        <v xml:space="preserve"> </v>
      </c>
      <c r="D55" s="41" t="str">
        <f t="shared" si="11"/>
        <v xml:space="preserve"> </v>
      </c>
      <c r="E55" s="13" t="str">
        <f t="shared" si="12"/>
        <v xml:space="preserve"> </v>
      </c>
      <c r="F55" s="30" t="str">
        <f t="shared" si="6"/>
        <v xml:space="preserve"> </v>
      </c>
      <c r="G55" s="30" t="str">
        <f t="shared" si="7"/>
        <v/>
      </c>
      <c r="H55" s="31" t="str">
        <f t="shared" si="2"/>
        <v/>
      </c>
      <c r="I55" s="32" t="str">
        <f t="shared" si="9"/>
        <v/>
      </c>
      <c r="J55" s="37">
        <f t="shared" si="3"/>
        <v>0.11390292224208301</v>
      </c>
    </row>
    <row r="56" spans="3:10" x14ac:dyDescent="0.15">
      <c r="C56" s="6" t="str">
        <f t="shared" si="10"/>
        <v xml:space="preserve"> </v>
      </c>
      <c r="D56" s="41" t="str">
        <f t="shared" si="11"/>
        <v xml:space="preserve"> </v>
      </c>
      <c r="E56" s="13" t="str">
        <f t="shared" si="12"/>
        <v xml:space="preserve"> </v>
      </c>
      <c r="F56" s="30" t="str">
        <f t="shared" si="6"/>
        <v xml:space="preserve"> </v>
      </c>
      <c r="G56" s="30" t="str">
        <f t="shared" si="7"/>
        <v/>
      </c>
      <c r="H56" s="31" t="str">
        <f t="shared" si="2"/>
        <v/>
      </c>
      <c r="I56" s="32" t="str">
        <f t="shared" si="9"/>
        <v/>
      </c>
      <c r="J56" s="37">
        <f t="shared" si="3"/>
        <v>0.11390292224208301</v>
      </c>
    </row>
    <row r="57" spans="3:10" x14ac:dyDescent="0.15">
      <c r="C57" s="6" t="str">
        <f t="shared" si="10"/>
        <v xml:space="preserve"> </v>
      </c>
      <c r="D57" s="41" t="str">
        <f t="shared" si="11"/>
        <v xml:space="preserve"> </v>
      </c>
      <c r="E57" s="13" t="str">
        <f t="shared" si="12"/>
        <v xml:space="preserve"> </v>
      </c>
      <c r="F57" s="30" t="str">
        <f t="shared" si="6"/>
        <v xml:space="preserve"> </v>
      </c>
      <c r="G57" s="30" t="str">
        <f t="shared" si="7"/>
        <v/>
      </c>
      <c r="H57" s="31" t="str">
        <f t="shared" si="2"/>
        <v/>
      </c>
      <c r="I57" s="32" t="str">
        <f t="shared" si="9"/>
        <v/>
      </c>
      <c r="J57" s="37">
        <f t="shared" si="3"/>
        <v>0.11390292224208301</v>
      </c>
    </row>
    <row r="58" spans="3:10" x14ac:dyDescent="0.15">
      <c r="C58" s="6" t="str">
        <f t="shared" si="10"/>
        <v xml:space="preserve"> </v>
      </c>
      <c r="D58" s="41" t="str">
        <f t="shared" si="11"/>
        <v xml:space="preserve"> </v>
      </c>
      <c r="E58" s="13" t="str">
        <f t="shared" si="12"/>
        <v xml:space="preserve"> </v>
      </c>
      <c r="F58" s="30" t="str">
        <f t="shared" si="6"/>
        <v xml:space="preserve"> </v>
      </c>
      <c r="G58" s="30" t="str">
        <f t="shared" si="7"/>
        <v/>
      </c>
      <c r="H58" s="31" t="str">
        <f t="shared" si="2"/>
        <v/>
      </c>
      <c r="I58" s="32" t="str">
        <f t="shared" si="9"/>
        <v/>
      </c>
      <c r="J58" s="37">
        <f t="shared" si="3"/>
        <v>0.11390292224208301</v>
      </c>
    </row>
    <row r="60" spans="3:10" ht="14.25" x14ac:dyDescent="0.2">
      <c r="F60" t="s">
        <v>100</v>
      </c>
      <c r="G60" s="210">
        <f>SUM(G12:G58)</f>
        <v>15.019242436516663</v>
      </c>
    </row>
    <row r="61" spans="3:10" ht="14.25" x14ac:dyDescent="0.2">
      <c r="F61" t="s">
        <v>101</v>
      </c>
      <c r="G61" s="38">
        <f>(tmax-full_sel_age+1)*target_M</f>
        <v>3.0869853380108276</v>
      </c>
      <c r="I61" s="39">
        <f>SUMPRODUCT(I12:I58,H12:H58)/SUM(I12:I58)</f>
        <v>0.11390292224208301</v>
      </c>
    </row>
  </sheetData>
  <phoneticPr fontId="37"/>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152</vt:i4>
      </vt:variant>
    </vt:vector>
  </HeadingPairs>
  <TitlesOfParts>
    <vt:vector size="163" baseType="lpstr">
      <vt:lpstr>Summary_NewMvector</vt:lpstr>
      <vt:lpstr>SBT</vt:lpstr>
      <vt:lpstr>LorMRichards_SS</vt:lpstr>
      <vt:lpstr>LorMRichards_0.1</vt:lpstr>
      <vt:lpstr>LorMRichards</vt:lpstr>
      <vt:lpstr>LorMRichardsUpper</vt:lpstr>
      <vt:lpstr>LorMRichardsLower</vt:lpstr>
      <vt:lpstr>LorMVB</vt:lpstr>
      <vt:lpstr>LorMRichardsHoenig</vt:lpstr>
      <vt:lpstr>empirical estimators</vt:lpstr>
      <vt:lpstr>VPA Fatage</vt:lpstr>
      <vt:lpstr>LorMRichards!a</vt:lpstr>
      <vt:lpstr>LorMRichards_0.1!a</vt:lpstr>
      <vt:lpstr>LorMRichards_SS!a</vt:lpstr>
      <vt:lpstr>LorMRichardsHoenig!a</vt:lpstr>
      <vt:lpstr>LorMRichardsLower!a</vt:lpstr>
      <vt:lpstr>LorMRichardsUpper!a</vt:lpstr>
      <vt:lpstr>LorMVB!a</vt:lpstr>
      <vt:lpstr>a</vt:lpstr>
      <vt:lpstr>LorMRichards_0.1!A1_</vt:lpstr>
      <vt:lpstr>LorMRichards_SS!A1_</vt:lpstr>
      <vt:lpstr>LorMRichardsHoenig!A1_</vt:lpstr>
      <vt:lpstr>LorMRichardsLower!A1_</vt:lpstr>
      <vt:lpstr>LorMRichardsUpper!A1_</vt:lpstr>
      <vt:lpstr>A1_</vt:lpstr>
      <vt:lpstr>LorMRichards_0.1!A2_</vt:lpstr>
      <vt:lpstr>LorMRichards_SS!A2_</vt:lpstr>
      <vt:lpstr>LorMRichardsHoenig!A2_</vt:lpstr>
      <vt:lpstr>LorMRichardsLower!A2_</vt:lpstr>
      <vt:lpstr>LorMRichardsUpper!A2_</vt:lpstr>
      <vt:lpstr>A2_</vt:lpstr>
      <vt:lpstr>LorMRichards!alpha</vt:lpstr>
      <vt:lpstr>LorMRichards_0.1!alpha</vt:lpstr>
      <vt:lpstr>LorMRichards_SS!alpha</vt:lpstr>
      <vt:lpstr>LorMRichardsHoenig!alpha</vt:lpstr>
      <vt:lpstr>LorMRichardsLower!alpha</vt:lpstr>
      <vt:lpstr>LorMRichardsUpper!alpha</vt:lpstr>
      <vt:lpstr>LorMVB!alpha</vt:lpstr>
      <vt:lpstr>LorMRichards!b</vt:lpstr>
      <vt:lpstr>LorMRichards_0.1!b</vt:lpstr>
      <vt:lpstr>LorMRichards_SS!b</vt:lpstr>
      <vt:lpstr>LorMRichardsHoenig!b</vt:lpstr>
      <vt:lpstr>LorMRichardsLower!b</vt:lpstr>
      <vt:lpstr>LorMRichardsUpper!b</vt:lpstr>
      <vt:lpstr>LorMVB!b</vt:lpstr>
      <vt:lpstr>b</vt:lpstr>
      <vt:lpstr>LorMRichards!beta</vt:lpstr>
      <vt:lpstr>LorMRichards_0.1!beta</vt:lpstr>
      <vt:lpstr>LorMRichards_SS!beta</vt:lpstr>
      <vt:lpstr>LorMRichardsHoenig!beta</vt:lpstr>
      <vt:lpstr>LorMRichardsLower!beta</vt:lpstr>
      <vt:lpstr>LorMRichardsUpper!beta</vt:lpstr>
      <vt:lpstr>LorMVB!beta</vt:lpstr>
      <vt:lpstr>LorMRichards!cum_L</vt:lpstr>
      <vt:lpstr>LorMRichards_0.1!cum_L</vt:lpstr>
      <vt:lpstr>LorMRichards_SS!cum_L</vt:lpstr>
      <vt:lpstr>LorMRichardsHoenig!cum_L</vt:lpstr>
      <vt:lpstr>LorMRichardsLower!cum_L</vt:lpstr>
      <vt:lpstr>LorMRichardsUpper!cum_L</vt:lpstr>
      <vt:lpstr>LorMVB!cum_L</vt:lpstr>
      <vt:lpstr>LorMRichards!cum_M</vt:lpstr>
      <vt:lpstr>LorMRichards_0.1!cum_M</vt:lpstr>
      <vt:lpstr>LorMRichards_SS!cum_M</vt:lpstr>
      <vt:lpstr>LorMRichardsHoenig!cum_M</vt:lpstr>
      <vt:lpstr>LorMRichardsLower!cum_M</vt:lpstr>
      <vt:lpstr>LorMRichardsUpper!cum_M</vt:lpstr>
      <vt:lpstr>LorMVB!cum_M</vt:lpstr>
      <vt:lpstr>LorMRichards!full_sel_age</vt:lpstr>
      <vt:lpstr>LorMRichards_0.1!full_sel_age</vt:lpstr>
      <vt:lpstr>LorMRichards_SS!full_sel_age</vt:lpstr>
      <vt:lpstr>LorMRichardsHoenig!full_sel_age</vt:lpstr>
      <vt:lpstr>LorMRichardsLower!full_sel_age</vt:lpstr>
      <vt:lpstr>LorMRichardsUpper!full_sel_age</vt:lpstr>
      <vt:lpstr>LorMVB!full_sel_age</vt:lpstr>
      <vt:lpstr>LorMRichards!k</vt:lpstr>
      <vt:lpstr>LorMRichards_0.1!k</vt:lpstr>
      <vt:lpstr>LorMRichards_SS!k</vt:lpstr>
      <vt:lpstr>LorMRichardsHoenig!k</vt:lpstr>
      <vt:lpstr>LorMRichardsLower!k</vt:lpstr>
      <vt:lpstr>LorMRichardsUpper!k</vt:lpstr>
      <vt:lpstr>LorMVB!k</vt:lpstr>
      <vt:lpstr>LorMRichards_0.1!L1_</vt:lpstr>
      <vt:lpstr>LorMRichards_SS!L1_</vt:lpstr>
      <vt:lpstr>LorMRichardsHoenig!L1_</vt:lpstr>
      <vt:lpstr>LorMRichardsLower!L1_</vt:lpstr>
      <vt:lpstr>LorMRichardsUpper!L1_</vt:lpstr>
      <vt:lpstr>L1_</vt:lpstr>
      <vt:lpstr>LorMRichards_0.1!L2_</vt:lpstr>
      <vt:lpstr>LorMRichards_SS!L2_</vt:lpstr>
      <vt:lpstr>LorMRichardsHoenig!L2_</vt:lpstr>
      <vt:lpstr>LorMRichardsLower!L2_</vt:lpstr>
      <vt:lpstr>LorMRichardsUpper!L2_</vt:lpstr>
      <vt:lpstr>L2_</vt:lpstr>
      <vt:lpstr>LorMRichards!linf</vt:lpstr>
      <vt:lpstr>LorMRichards_0.1!linf</vt:lpstr>
      <vt:lpstr>LorMRichards_SS!linf</vt:lpstr>
      <vt:lpstr>LorMRichardsHoenig!linf</vt:lpstr>
      <vt:lpstr>LorMRichardsLower!linf</vt:lpstr>
      <vt:lpstr>LorMRichardsUpper!linf</vt:lpstr>
      <vt:lpstr>LorMVB!linf</vt:lpstr>
      <vt:lpstr>LorMRichards!maxage_M</vt:lpstr>
      <vt:lpstr>LorMRichards_0.1!maxage_M</vt:lpstr>
      <vt:lpstr>LorMRichards_SS!maxage_M</vt:lpstr>
      <vt:lpstr>LorMRichardsHoenig!maxage_M</vt:lpstr>
      <vt:lpstr>LorMRichardsLower!maxage_M</vt:lpstr>
      <vt:lpstr>LorMRichardsUpper!maxage_M</vt:lpstr>
      <vt:lpstr>LorMVB!maxage_M</vt:lpstr>
      <vt:lpstr>LorMRichards!offset</vt:lpstr>
      <vt:lpstr>LorMRichards_0.1!offset</vt:lpstr>
      <vt:lpstr>LorMRichards_SS!offset</vt:lpstr>
      <vt:lpstr>LorMRichardsHoenig!offset</vt:lpstr>
      <vt:lpstr>LorMRichardsLower!offset</vt:lpstr>
      <vt:lpstr>LorMRichardsUpper!offset</vt:lpstr>
      <vt:lpstr>LorMVB!offset</vt:lpstr>
      <vt:lpstr>LorMRichards_0.1!p</vt:lpstr>
      <vt:lpstr>LorMRichards_SS!p</vt:lpstr>
      <vt:lpstr>LorMRichardsHoenig!p</vt:lpstr>
      <vt:lpstr>LorMRichardsLower!p</vt:lpstr>
      <vt:lpstr>LorMRichardsUpper!p</vt:lpstr>
      <vt:lpstr>p</vt:lpstr>
      <vt:lpstr>LorMRichards!plus_age</vt:lpstr>
      <vt:lpstr>LorMRichards_0.1!plus_age</vt:lpstr>
      <vt:lpstr>LorMRichards_SS!plus_age</vt:lpstr>
      <vt:lpstr>LorMRichardsHoenig!plus_age</vt:lpstr>
      <vt:lpstr>LorMRichardsLower!plus_age</vt:lpstr>
      <vt:lpstr>LorMRichardsUpper!plus_age</vt:lpstr>
      <vt:lpstr>LorMVB!plus_age</vt:lpstr>
      <vt:lpstr>LorMRichards!plus_m</vt:lpstr>
      <vt:lpstr>LorMRichards_0.1!plus_m</vt:lpstr>
      <vt:lpstr>LorMRichards_SS!plus_m</vt:lpstr>
      <vt:lpstr>LorMRichardsHoenig!plus_m</vt:lpstr>
      <vt:lpstr>LorMRichardsLower!plus_m</vt:lpstr>
      <vt:lpstr>LorMRichardsUpper!plus_m</vt:lpstr>
      <vt:lpstr>LorMVB!plus_m</vt:lpstr>
      <vt:lpstr>Summary_NewMvector!plus_m</vt:lpstr>
      <vt:lpstr>LorMRichards!shift</vt:lpstr>
      <vt:lpstr>LorMRichards_0.1!shift</vt:lpstr>
      <vt:lpstr>LorMRichards_SS!shift</vt:lpstr>
      <vt:lpstr>LorMRichardsHoenig!shift</vt:lpstr>
      <vt:lpstr>LorMRichardsLower!shift</vt:lpstr>
      <vt:lpstr>LorMRichardsUpper!shift</vt:lpstr>
      <vt:lpstr>LorMVB!shift</vt:lpstr>
      <vt:lpstr>LorMRichards!t0</vt:lpstr>
      <vt:lpstr>LorMRichards_0.1!t0</vt:lpstr>
      <vt:lpstr>LorMRichards_SS!t0</vt:lpstr>
      <vt:lpstr>LorMRichardsHoenig!t0</vt:lpstr>
      <vt:lpstr>LorMRichardsLower!t0</vt:lpstr>
      <vt:lpstr>LorMRichardsUpper!t0</vt:lpstr>
      <vt:lpstr>LorMVB!t0</vt:lpstr>
      <vt:lpstr>LorMRichards_0.1!target_M</vt:lpstr>
      <vt:lpstr>LorMRichards_SS!target_M</vt:lpstr>
      <vt:lpstr>LorMRichardsHoenig!target_M</vt:lpstr>
      <vt:lpstr>LorMRichardsLower!target_M</vt:lpstr>
      <vt:lpstr>LorMRichardsUpper!target_M</vt:lpstr>
      <vt:lpstr>LorMVB!target_M</vt:lpstr>
      <vt:lpstr>target_M</vt:lpstr>
      <vt:lpstr>LorMRichards!tmax</vt:lpstr>
      <vt:lpstr>LorMRichards_0.1!tmax</vt:lpstr>
      <vt:lpstr>LorMRichards_SS!tmax</vt:lpstr>
      <vt:lpstr>LorMRichardsHoenig!tmax</vt:lpstr>
      <vt:lpstr>LorMRichardsLower!tmax</vt:lpstr>
      <vt:lpstr>LorMRichardsUpper!tmax</vt:lpstr>
      <vt:lpstr>LorMVB!tmax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Walter III</dc:creator>
  <cp:lastModifiedBy>AiKimoto</cp:lastModifiedBy>
  <cp:lastPrinted>2017-04-26T01:09:20Z</cp:lastPrinted>
  <dcterms:created xsi:type="dcterms:W3CDTF">2016-03-29T14:14:40Z</dcterms:created>
  <dcterms:modified xsi:type="dcterms:W3CDTF">2017-04-27T01:27:40Z</dcterms:modified>
</cp:coreProperties>
</file>