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Kimoto\Desktop\"/>
    </mc:Choice>
  </mc:AlternateContent>
  <xr:revisionPtr revIDLastSave="0" documentId="13_ncr:1_{A124E61C-EAC4-4B60-8DA6-A303A9EAD609}" xr6:coauthVersionLast="46" xr6:coauthVersionMax="46" xr10:uidLastSave="{00000000-0000-0000-0000-000000000000}"/>
  <bookViews>
    <workbookView xWindow="-103" yWindow="-103" windowWidth="22149" windowHeight="11949" xr2:uid="{F7FFE4B7-F5E7-4777-AD3C-695288BEE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5" i="1" l="1"/>
  <c r="AH48" i="1"/>
  <c r="AA21" i="1"/>
  <c r="G17" i="1" l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3" i="1"/>
  <c r="AN23" i="1"/>
  <c r="AO22" i="1"/>
  <c r="AN22" i="1"/>
  <c r="G10" i="1"/>
  <c r="G9" i="1"/>
  <c r="BE13" i="1"/>
  <c r="BI12" i="1" s="1"/>
  <c r="BD13" i="1"/>
  <c r="BH7" i="1" s="1"/>
  <c r="BC13" i="1"/>
  <c r="BG7" i="1" s="1"/>
  <c r="E20" i="1"/>
  <c r="E19" i="1"/>
  <c r="G19" i="1"/>
  <c r="G20" i="1" s="1"/>
  <c r="G18" i="1"/>
  <c r="AP27" i="1"/>
  <c r="AP26" i="1"/>
  <c r="AP25" i="1"/>
  <c r="AP24" i="1"/>
  <c r="AO27" i="1"/>
  <c r="AO26" i="1"/>
  <c r="AO25" i="1"/>
  <c r="AO24" i="1"/>
  <c r="AN27" i="1"/>
  <c r="AN26" i="1"/>
  <c r="AN25" i="1"/>
  <c r="AN24" i="1"/>
  <c r="AO21" i="1"/>
  <c r="AV21" i="1" s="1"/>
  <c r="AN21" i="1"/>
  <c r="AU21" i="1" s="1"/>
  <c r="G13" i="1"/>
  <c r="AN19" i="1"/>
  <c r="AO20" i="1"/>
  <c r="AN20" i="1"/>
  <c r="AO19" i="1"/>
  <c r="G14" i="1"/>
  <c r="AO18" i="1"/>
  <c r="AN18" i="1"/>
  <c r="AO17" i="1"/>
  <c r="AN17" i="1"/>
  <c r="AO16" i="1"/>
  <c r="AN16" i="1"/>
  <c r="AO15" i="1"/>
  <c r="AN15" i="1"/>
  <c r="AO14" i="1"/>
  <c r="AN14" i="1"/>
  <c r="AT11" i="1"/>
  <c r="AT10" i="1"/>
  <c r="AO13" i="1"/>
  <c r="AN13" i="1"/>
  <c r="AO12" i="1"/>
  <c r="AN12" i="1"/>
  <c r="AO11" i="1"/>
  <c r="AN11" i="1"/>
  <c r="AO10" i="1"/>
  <c r="AN10" i="1"/>
  <c r="AN9" i="1"/>
  <c r="AP7" i="1"/>
  <c r="AO7" i="1"/>
  <c r="AO6" i="1"/>
  <c r="AO5" i="1"/>
  <c r="AN7" i="1"/>
  <c r="AN5" i="1"/>
  <c r="AN6" i="1"/>
  <c r="AP9" i="1"/>
  <c r="E10" i="1" s="1"/>
  <c r="AO9" i="1"/>
  <c r="AO8" i="1"/>
  <c r="AN8" i="1"/>
  <c r="AP1" i="1"/>
  <c r="AW1" i="1" s="1"/>
  <c r="AO1" i="1"/>
  <c r="AV1" i="1" s="1"/>
  <c r="AN1" i="1"/>
  <c r="AU1" i="1" s="1"/>
  <c r="AP4" i="1"/>
  <c r="G26" i="1" s="1"/>
  <c r="AO4" i="1"/>
  <c r="AO3" i="1"/>
  <c r="AO2" i="1"/>
  <c r="AN4" i="1"/>
  <c r="AN3" i="1"/>
  <c r="AN2" i="1"/>
  <c r="E9" i="1"/>
  <c r="F9" i="1" s="1"/>
  <c r="F10" i="1"/>
  <c r="AV33" i="1" l="1"/>
  <c r="AX33" i="1" s="1"/>
  <c r="AV30" i="1"/>
  <c r="AU3" i="1"/>
  <c r="AV23" i="1"/>
  <c r="AU2" i="1"/>
  <c r="E23" i="1"/>
  <c r="AV3" i="1"/>
  <c r="AX3" i="1" s="1"/>
  <c r="I21" i="1" s="1"/>
  <c r="AU30" i="1"/>
  <c r="AV2" i="1"/>
  <c r="AV28" i="1"/>
  <c r="AV32" i="1"/>
  <c r="AU33" i="1"/>
  <c r="AV29" i="1"/>
  <c r="AU31" i="1"/>
  <c r="AV31" i="1"/>
  <c r="AU28" i="1"/>
  <c r="AU32" i="1"/>
  <c r="AX32" i="1" s="1"/>
  <c r="E8" i="1"/>
  <c r="AU29" i="1"/>
  <c r="BI7" i="1"/>
  <c r="AU22" i="1"/>
  <c r="AU23" i="1"/>
  <c r="AX23" i="1" s="1"/>
  <c r="I28" i="1" s="1"/>
  <c r="AX21" i="1"/>
  <c r="I15" i="1" s="1"/>
  <c r="BH12" i="1"/>
  <c r="AU24" i="1"/>
  <c r="E18" i="1"/>
  <c r="BJ7" i="1"/>
  <c r="I20" i="1" s="1"/>
  <c r="F20" i="1" s="1"/>
  <c r="AV22" i="1"/>
  <c r="BG12" i="1"/>
  <c r="AV24" i="1"/>
  <c r="AV19" i="1"/>
  <c r="AU17" i="1"/>
  <c r="AU19" i="1"/>
  <c r="AU16" i="1"/>
  <c r="AV16" i="1"/>
  <c r="AV17" i="1"/>
  <c r="AV11" i="1"/>
  <c r="AV5" i="1"/>
  <c r="AV7" i="1"/>
  <c r="AW7" i="1"/>
  <c r="AU6" i="1"/>
  <c r="AU5" i="1"/>
  <c r="AU7" i="1"/>
  <c r="AV6" i="1"/>
  <c r="AU10" i="1"/>
  <c r="AV10" i="1"/>
  <c r="AU11" i="1"/>
  <c r="AX30" i="1" l="1"/>
  <c r="AX22" i="1"/>
  <c r="I27" i="1" s="1"/>
  <c r="AX2" i="1"/>
  <c r="I22" i="1" s="1"/>
  <c r="AX28" i="1"/>
  <c r="AX31" i="1"/>
  <c r="E17" i="1" s="1"/>
  <c r="F17" i="1" s="1"/>
  <c r="AX29" i="1"/>
  <c r="BJ12" i="1"/>
  <c r="I19" i="1" s="1"/>
  <c r="F19" i="1" s="1"/>
  <c r="AX24" i="1"/>
  <c r="I18" i="1" s="1"/>
  <c r="F18" i="1" s="1"/>
  <c r="AX19" i="1"/>
  <c r="I13" i="1" s="1"/>
  <c r="F13" i="1" s="1"/>
  <c r="AX17" i="1"/>
  <c r="I14" i="1" s="1"/>
  <c r="F14" i="1" s="1"/>
  <c r="AX10" i="1"/>
  <c r="AX16" i="1"/>
  <c r="I12" i="1" s="1"/>
  <c r="AX11" i="1"/>
  <c r="AX7" i="1"/>
  <c r="I8" i="1" s="1"/>
  <c r="AX5" i="1"/>
  <c r="I6" i="1" s="1"/>
  <c r="AX6" i="1"/>
  <c r="I7" i="1" s="1"/>
  <c r="G8" i="1"/>
  <c r="G23" i="1" s="1"/>
  <c r="G6" i="1"/>
  <c r="G7" i="1" l="1"/>
  <c r="G12" i="1" s="1"/>
  <c r="G27" i="1" s="1"/>
  <c r="G28" i="1" s="1"/>
  <c r="E28" i="1" s="1"/>
  <c r="G21" i="1"/>
  <c r="E16" i="1"/>
  <c r="F16" i="1" s="1"/>
  <c r="E14" i="1"/>
  <c r="E11" i="1"/>
  <c r="F11" i="1" s="1"/>
  <c r="E13" i="1"/>
  <c r="E12" i="1"/>
  <c r="F6" i="1"/>
  <c r="E6" i="1"/>
  <c r="F8" i="1"/>
  <c r="F23" i="1" s="1"/>
  <c r="F12" i="1" l="1"/>
  <c r="F27" i="1"/>
  <c r="F21" i="1"/>
  <c r="E21" i="1"/>
  <c r="G22" i="1"/>
  <c r="E27" i="1"/>
  <c r="F28" i="1"/>
  <c r="F7" i="1"/>
  <c r="E7" i="1"/>
  <c r="F22" i="1" l="1"/>
  <c r="E22" i="1"/>
</calcChain>
</file>

<file path=xl/sharedStrings.xml><?xml version="1.0" encoding="utf-8"?>
<sst xmlns="http://schemas.openxmlformats.org/spreadsheetml/2006/main" count="564" uniqueCount="172">
  <si>
    <t>Flag</t>
  </si>
  <si>
    <t>Canada</t>
  </si>
  <si>
    <t>Sum of Qty_t</t>
  </si>
  <si>
    <t>HL</t>
  </si>
  <si>
    <t>HP</t>
  </si>
  <si>
    <t>LL</t>
  </si>
  <si>
    <t>RR</t>
  </si>
  <si>
    <t>TL</t>
  </si>
  <si>
    <t>TP</t>
  </si>
  <si>
    <t>TW</t>
  </si>
  <si>
    <t>t1nc_BFT-20210403.xlsx</t>
  </si>
  <si>
    <t>note</t>
  </si>
  <si>
    <t>JPNallcationEBFT</t>
  </si>
  <si>
    <t>JPNallcationWBFT</t>
  </si>
  <si>
    <t>ESPallocationEBFT * %ESPBB catch in ESP (ave18-19) +FRAallocationEBFT * %FRABB catch in FRA (ave18-19)</t>
  </si>
  <si>
    <t>NORallocationEBFT * %NORPS catch in NOR (ave18-19)</t>
  </si>
  <si>
    <t>HRVallocationEBFT (in EU) * %HRVPS catch in HRV (ave18-19)</t>
  </si>
  <si>
    <t>MORallocationEBFT * %MORTP catch in MOR (ave18-19) +PORallocationEBFT * %PORTP catch in POR (ave18-19) +ESPallocationEBFT * %ESPTP catch in ESP (ave18-19)</t>
  </si>
  <si>
    <t>USAallocationWBFT * %USARRFS (small) catch in USA (ave18-19)</t>
  </si>
  <si>
    <t>USAallocationWBFT * %USARR (RR+HP+HL) catch in USA (ave18-19) - USRRFS</t>
  </si>
  <si>
    <t>Rec. 19-04</t>
    <phoneticPr fontId="1"/>
  </si>
  <si>
    <t>Rec. 20-07</t>
    <phoneticPr fontId="1"/>
  </si>
  <si>
    <t>Rec. 17-06</t>
    <phoneticPr fontId="1"/>
  </si>
  <si>
    <t>Rec. 20-06</t>
    <phoneticPr fontId="1"/>
  </si>
  <si>
    <t>Year</t>
    <phoneticPr fontId="1"/>
  </si>
  <si>
    <t>TAC</t>
    <phoneticPr fontId="1"/>
  </si>
  <si>
    <t>West</t>
  </si>
  <si>
    <t>West</t>
    <phoneticPr fontId="1"/>
  </si>
  <si>
    <t>East</t>
  </si>
  <si>
    <t>East</t>
    <phoneticPr fontId="1"/>
  </si>
  <si>
    <t>No</t>
    <phoneticPr fontId="1"/>
  </si>
  <si>
    <t>Fleet</t>
    <phoneticPr fontId="1"/>
  </si>
  <si>
    <t>Area(East, Med, West)</t>
    <phoneticPr fontId="1"/>
  </si>
  <si>
    <t>LLOTH</t>
  </si>
  <si>
    <t>Med</t>
  </si>
  <si>
    <t>LLJPN</t>
  </si>
  <si>
    <t>BBnew</t>
  </si>
  <si>
    <t>PSMEDnew</t>
  </si>
  <si>
    <t>PSNOR</t>
  </si>
  <si>
    <t>PSHRV</t>
  </si>
  <si>
    <t>PSWnew</t>
  </si>
  <si>
    <t>TPnew</t>
  </si>
  <si>
    <t>RRCan</t>
  </si>
  <si>
    <t>RRUSAFS</t>
  </si>
  <si>
    <t>RRUSAFB</t>
  </si>
  <si>
    <t>OTHERS</t>
  </si>
  <si>
    <t>GearGrp</t>
  </si>
  <si>
    <t>ATE</t>
  </si>
  <si>
    <t>ATW</t>
  </si>
  <si>
    <t>MED</t>
  </si>
  <si>
    <t>BB</t>
  </si>
  <si>
    <t>GN</t>
  </si>
  <si>
    <t>PS</t>
  </si>
  <si>
    <t>TN</t>
  </si>
  <si>
    <t>TR</t>
  </si>
  <si>
    <t>UN</t>
  </si>
  <si>
    <t>mexicoLL</t>
    <phoneticPr fontId="1"/>
  </si>
  <si>
    <t>info</t>
    <phoneticPr fontId="1"/>
  </si>
  <si>
    <t>Japan</t>
  </si>
  <si>
    <t>Total WTAC * %ATW OTHLL catch in WBFT (ave18-19)</t>
    <phoneticPr fontId="1"/>
  </si>
  <si>
    <t>Total ETAC * %ATE OTHLL catch in EBFT (ave18-19)</t>
    <phoneticPr fontId="1"/>
  </si>
  <si>
    <t>Total ETAC * %MED OTHLL catch in EBFT (ave18-19)</t>
    <phoneticPr fontId="1"/>
  </si>
  <si>
    <t>Percentage</t>
    <phoneticPr fontId="1"/>
  </si>
  <si>
    <t>p1</t>
    <phoneticPr fontId="1"/>
  </si>
  <si>
    <t>East TAC</t>
  </si>
  <si>
    <t>West TAC</t>
  </si>
  <si>
    <t>Morocco</t>
  </si>
  <si>
    <t>Norway</t>
  </si>
  <si>
    <t>USA</t>
  </si>
  <si>
    <t>EU-Cyprus</t>
  </si>
  <si>
    <t>Mexico</t>
  </si>
  <si>
    <t>EU-Greece</t>
  </si>
  <si>
    <t>Others</t>
  </si>
  <si>
    <t>EU-Spain</t>
  </si>
  <si>
    <t>EU-France</t>
  </si>
  <si>
    <t>EU-Croatia</t>
  </si>
  <si>
    <t>EU-Italy</t>
  </si>
  <si>
    <t>EU-Malta</t>
  </si>
  <si>
    <t>EU-Portugal</t>
  </si>
  <si>
    <t>Other-EU</t>
  </si>
  <si>
    <t>EU-España</t>
  </si>
  <si>
    <t>Stock</t>
  </si>
  <si>
    <t>0.13 (ESP)/0.02 (FRA)</t>
    <phoneticPr fontId="1"/>
  </si>
  <si>
    <t>6139 (ESP)/6058 (FRA)</t>
    <phoneticPr fontId="1"/>
  </si>
  <si>
    <t>Total ETAC * %MED PS (no PSHRV) catch in ATE (ave18-19)</t>
    <phoneticPr fontId="1"/>
  </si>
  <si>
    <t>Albania</t>
  </si>
  <si>
    <t>Algerie</t>
  </si>
  <si>
    <t>Egypt</t>
  </si>
  <si>
    <t>ICCAT (RMA)</t>
  </si>
  <si>
    <t>Libya</t>
  </si>
  <si>
    <t>Maroc</t>
  </si>
  <si>
    <t>Syria</t>
  </si>
  <si>
    <t>Tunisie</t>
  </si>
  <si>
    <t>Turkey</t>
  </si>
  <si>
    <t>China PR</t>
  </si>
  <si>
    <t>EU-Denmark</t>
  </si>
  <si>
    <t>EU-Ireland</t>
  </si>
  <si>
    <t>EU-Netherlands</t>
  </si>
  <si>
    <t>Guinea Ecuatorial</t>
  </si>
  <si>
    <t>Korea Rep</t>
  </si>
  <si>
    <t>UK-Bermuda</t>
  </si>
  <si>
    <t>ATW</t>
    <phoneticPr fontId="1"/>
  </si>
  <si>
    <t>MED</t>
    <phoneticPr fontId="1"/>
  </si>
  <si>
    <t>YearC</t>
  </si>
  <si>
    <t>ATE Total</t>
  </si>
  <si>
    <t>ATW Total</t>
  </si>
  <si>
    <t>MED Total</t>
  </si>
  <si>
    <t>all</t>
    <phoneticPr fontId="1"/>
  </si>
  <si>
    <t>LL</t>
    <phoneticPr fontId="1"/>
  </si>
  <si>
    <t>OTHLL</t>
    <phoneticPr fontId="1"/>
  </si>
  <si>
    <t>average</t>
    <phoneticPr fontId="1"/>
  </si>
  <si>
    <t>percentage</t>
    <phoneticPr fontId="1"/>
  </si>
  <si>
    <t>p6</t>
    <phoneticPr fontId="1"/>
  </si>
  <si>
    <t>p2</t>
    <phoneticPr fontId="1"/>
  </si>
  <si>
    <t>p3</t>
    <phoneticPr fontId="1"/>
  </si>
  <si>
    <t>PS</t>
    <phoneticPr fontId="1"/>
  </si>
  <si>
    <t>MedPS no HRV in East</t>
    <phoneticPr fontId="1"/>
  </si>
  <si>
    <t>Med HRV PS in Croatia</t>
    <phoneticPr fontId="1"/>
  </si>
  <si>
    <t>ATE BB in ESP</t>
    <phoneticPr fontId="1"/>
  </si>
  <si>
    <t>ATE BB in FRA</t>
    <phoneticPr fontId="1"/>
  </si>
  <si>
    <t>Med othLL in East</t>
    <phoneticPr fontId="1"/>
  </si>
  <si>
    <t>East othLL in East</t>
    <phoneticPr fontId="1"/>
  </si>
  <si>
    <t>West othLL in West</t>
    <phoneticPr fontId="1"/>
  </si>
  <si>
    <t>MedPS</t>
    <phoneticPr fontId="1"/>
  </si>
  <si>
    <t>MedHRV</t>
    <phoneticPr fontId="1"/>
  </si>
  <si>
    <t>TAC/allocation</t>
    <phoneticPr fontId="1"/>
  </si>
  <si>
    <t>Norway</t>
    <phoneticPr fontId="1"/>
  </si>
  <si>
    <t>ATE NOR</t>
    <phoneticPr fontId="1"/>
  </si>
  <si>
    <t>ATW</t>
    <phoneticPr fontId="1"/>
  </si>
  <si>
    <t>Canada</t>
    <phoneticPr fontId="1"/>
  </si>
  <si>
    <t>all</t>
    <phoneticPr fontId="1"/>
  </si>
  <si>
    <t>CANallocationWBFT * %CANRR9(RR,HL,HP) catch in CAN (ave18-19)</t>
    <phoneticPr fontId="1"/>
  </si>
  <si>
    <t>RR</t>
    <phoneticPr fontId="1"/>
  </si>
  <si>
    <t>HL</t>
    <phoneticPr fontId="1"/>
  </si>
  <si>
    <t>HP</t>
    <phoneticPr fontId="1"/>
  </si>
  <si>
    <t>(All)</t>
  </si>
  <si>
    <t>Fleet</t>
  </si>
  <si>
    <t>USA-US-Com</t>
  </si>
  <si>
    <t>USA-US-Recr</t>
  </si>
  <si>
    <t>CANRR</t>
    <phoneticPr fontId="1"/>
  </si>
  <si>
    <t>Ustotal</t>
    <phoneticPr fontId="1"/>
  </si>
  <si>
    <t>fish small</t>
    <phoneticPr fontId="1"/>
  </si>
  <si>
    <t>fish large</t>
    <phoneticPr fontId="1"/>
  </si>
  <si>
    <t>average</t>
    <phoneticPr fontId="1"/>
  </si>
  <si>
    <t>ATWPS</t>
    <phoneticPr fontId="1"/>
  </si>
  <si>
    <t>TP</t>
    <phoneticPr fontId="1"/>
  </si>
  <si>
    <t>ATETP/East</t>
    <phoneticPr fontId="1"/>
  </si>
  <si>
    <t>MedTP/East</t>
    <phoneticPr fontId="1"/>
  </si>
  <si>
    <t>Total ETAC * %EATL TP catch in EBFT (ave18-19)</t>
    <phoneticPr fontId="1"/>
  </si>
  <si>
    <t>Total ETAC * %Med TP catch in EBFT (ave18-19)</t>
    <phoneticPr fontId="1"/>
  </si>
  <si>
    <t>EU-Portugal</t>
    <phoneticPr fontId="1"/>
  </si>
  <si>
    <t>ATE ESP TP/ESP</t>
    <phoneticPr fontId="1"/>
  </si>
  <si>
    <t>ATE POR TP/POR</t>
    <phoneticPr fontId="1"/>
  </si>
  <si>
    <t>ATE MOR TP/MOR</t>
    <phoneticPr fontId="1"/>
  </si>
  <si>
    <t>MED ESP TP/ESP</t>
    <phoneticPr fontId="1"/>
  </si>
  <si>
    <t>MED POR TP/POR</t>
    <phoneticPr fontId="1"/>
  </si>
  <si>
    <t>MED MOR TP/MOR</t>
    <phoneticPr fontId="1"/>
  </si>
  <si>
    <t>0.35(ESP)/0.60(POR)/0.84(MOR)</t>
    <phoneticPr fontId="1"/>
  </si>
  <si>
    <t>0.00(ESP)</t>
    <phoneticPr fontId="1"/>
  </si>
  <si>
    <t>6139(ESP)/577(POR)/3284(MOR)</t>
    <phoneticPr fontId="1"/>
  </si>
  <si>
    <t>W2020 now</t>
    <phoneticPr fontId="1"/>
  </si>
  <si>
    <t>ESPallocationEBFT * %ESPTP_Med catch in ESP (ave18-19)</t>
    <phoneticPr fontId="1"/>
  </si>
  <si>
    <t>Total ETAC * %MED in EBFT (ave18-19) - all above catches in Med</t>
    <phoneticPr fontId="1"/>
  </si>
  <si>
    <t>Total ETAC * %East in EBFT (ave18-19) - all above catches in East</t>
    <phoneticPr fontId="1"/>
  </si>
  <si>
    <t>Total W2021 or Total WTAC - all above catches in West</t>
    <phoneticPr fontId="1"/>
  </si>
  <si>
    <t>Task 1 file</t>
    <phoneticPr fontId="1"/>
  </si>
  <si>
    <t>Desembarques (muertos, L)</t>
  </si>
  <si>
    <t>Descartes (vivos, DL)</t>
  </si>
  <si>
    <t>qtyLkg</t>
  </si>
  <si>
    <t>qtyDLkg</t>
  </si>
  <si>
    <t>Table for SCRS/2021/031</t>
    <phoneticPr fontId="1"/>
  </si>
  <si>
    <t>allocation for future projections in 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</si>
</sst>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" fontId="0" fillId="2" borderId="2" xfId="0" applyNumberFormat="1" applyFill="1" applyBorder="1">
      <alignment vertical="center"/>
    </xf>
    <xf numFmtId="2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1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" fontId="0" fillId="0" borderId="0" xfId="0" applyNumberFormat="1" applyFill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1" fontId="0" fillId="0" borderId="2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CE12-FF6C-47AA-AA4C-BD4C06596012}">
  <dimension ref="A1:BJ102"/>
  <sheetViews>
    <sheetView tabSelected="1" zoomScale="55" zoomScaleNormal="55" workbookViewId="0">
      <selection activeCell="B3" sqref="B3"/>
    </sheetView>
  </sheetViews>
  <sheetFormatPr defaultRowHeight="18.45"/>
  <cols>
    <col min="5" max="5" width="9.7109375" bestFit="1" customWidth="1"/>
    <col min="6" max="6" width="9.85546875" bestFit="1" customWidth="1"/>
    <col min="7" max="7" width="10.85546875" bestFit="1" customWidth="1"/>
    <col min="38" max="38" width="16.85546875" bestFit="1" customWidth="1"/>
    <col min="52" max="52" width="13" bestFit="1" customWidth="1"/>
    <col min="53" max="53" width="15.0703125" customWidth="1"/>
  </cols>
  <sheetData>
    <row r="1" spans="2:62">
      <c r="AC1" t="s">
        <v>165</v>
      </c>
      <c r="AN1">
        <f>+AF4</f>
        <v>2018</v>
      </c>
      <c r="AO1">
        <f>+AG4</f>
        <v>2019</v>
      </c>
      <c r="AP1">
        <f>+AH4</f>
        <v>2020</v>
      </c>
      <c r="AR1" t="s">
        <v>111</v>
      </c>
      <c r="AU1">
        <f>+AN1</f>
        <v>2018</v>
      </c>
      <c r="AV1">
        <f>+AO1</f>
        <v>2019</v>
      </c>
      <c r="AW1">
        <f>+AP1</f>
        <v>2020</v>
      </c>
      <c r="AX1" t="s">
        <v>110</v>
      </c>
    </row>
    <row r="2" spans="2:62">
      <c r="B2" t="s">
        <v>171</v>
      </c>
      <c r="AB2" s="2"/>
      <c r="AC2" t="s">
        <v>10</v>
      </c>
      <c r="AI2" s="2"/>
      <c r="AK2" t="s">
        <v>104</v>
      </c>
      <c r="AN2">
        <f t="shared" ref="AN2:AO4" si="0">+SUMIF($AC$5:$AC$102,$AK2,AF$5:AF$102)</f>
        <v>8157.434529000001</v>
      </c>
      <c r="AO2">
        <f t="shared" si="0"/>
        <v>9358.0683950000002</v>
      </c>
      <c r="AU2">
        <f>+AN2/SUM(AN$2:AN$3)</f>
        <v>0.293780914025222</v>
      </c>
      <c r="AV2">
        <f>+AO2/SUM(AO$2:AO$3)</f>
        <v>0.30074199398519535</v>
      </c>
      <c r="AX2">
        <f t="shared" ref="AX2:AX3" si="1">+AVERAGE(AU2:AV2)</f>
        <v>0.29726145400520865</v>
      </c>
      <c r="BA2" t="s">
        <v>0</v>
      </c>
      <c r="BB2" t="s">
        <v>68</v>
      </c>
    </row>
    <row r="3" spans="2:62">
      <c r="B3" t="s">
        <v>170</v>
      </c>
      <c r="AB3" s="2"/>
      <c r="AC3" t="s">
        <v>2</v>
      </c>
      <c r="AF3" t="s">
        <v>103</v>
      </c>
      <c r="AI3" s="2"/>
      <c r="AK3" t="s">
        <v>106</v>
      </c>
      <c r="AN3">
        <f t="shared" si="0"/>
        <v>19609.633172000002</v>
      </c>
      <c r="AO3">
        <f t="shared" si="0"/>
        <v>21758.531820999997</v>
      </c>
      <c r="AU3">
        <f>+AN3/SUM(AN$2:AN$3)</f>
        <v>0.706219085974778</v>
      </c>
      <c r="AV3">
        <f>+AO3/SUM(AO$2:AO$3)</f>
        <v>0.69925800601480459</v>
      </c>
      <c r="AX3">
        <f t="shared" si="1"/>
        <v>0.70273854599479124</v>
      </c>
      <c r="BA3" t="s">
        <v>81</v>
      </c>
      <c r="BB3" t="s">
        <v>135</v>
      </c>
    </row>
    <row r="4" spans="2:62">
      <c r="AC4" t="s">
        <v>81</v>
      </c>
      <c r="AD4" t="s">
        <v>0</v>
      </c>
      <c r="AE4" t="s">
        <v>46</v>
      </c>
      <c r="AF4">
        <v>2018</v>
      </c>
      <c r="AG4">
        <v>2019</v>
      </c>
      <c r="AH4">
        <v>2020</v>
      </c>
      <c r="AK4" t="s">
        <v>105</v>
      </c>
      <c r="AN4">
        <f t="shared" si="0"/>
        <v>2026.8791740000001</v>
      </c>
      <c r="AO4">
        <f t="shared" si="0"/>
        <v>2305.7461039999998</v>
      </c>
      <c r="AP4">
        <f>+SUMIF($AC$5:$AC$102,$AK4,AH$5:AH$102)</f>
        <v>2178.8756029999995</v>
      </c>
    </row>
    <row r="5" spans="2:62">
      <c r="B5" s="18" t="s">
        <v>30</v>
      </c>
      <c r="C5" s="18" t="s">
        <v>31</v>
      </c>
      <c r="D5" s="18" t="s">
        <v>32</v>
      </c>
      <c r="E5" s="18">
        <v>2020</v>
      </c>
      <c r="F5" s="18">
        <v>2021</v>
      </c>
      <c r="G5" s="18" t="s">
        <v>125</v>
      </c>
      <c r="H5" s="18"/>
      <c r="I5" s="18" t="s">
        <v>62</v>
      </c>
      <c r="J5" s="18" t="s">
        <v>11</v>
      </c>
      <c r="T5" t="s">
        <v>25</v>
      </c>
      <c r="X5" t="s">
        <v>25</v>
      </c>
      <c r="AC5" t="s">
        <v>47</v>
      </c>
      <c r="AD5" t="s">
        <v>94</v>
      </c>
      <c r="AE5" t="s">
        <v>5</v>
      </c>
      <c r="AF5">
        <v>78.992000000000004</v>
      </c>
      <c r="AG5">
        <v>88.96</v>
      </c>
      <c r="AK5" t="s">
        <v>102</v>
      </c>
      <c r="AL5" t="s">
        <v>107</v>
      </c>
      <c r="AM5" t="s">
        <v>108</v>
      </c>
      <c r="AN5">
        <f t="shared" ref="AN5:AO7" si="2">+SUMIFS(AF$5:AF$102,$AC$5:$AC$102,$AK5,$AE$5:$AE$102,$AM5)</f>
        <v>1517.7715449999998</v>
      </c>
      <c r="AO5">
        <f t="shared" si="2"/>
        <v>1435.60113</v>
      </c>
      <c r="AR5" t="s">
        <v>120</v>
      </c>
      <c r="AS5" t="s">
        <v>63</v>
      </c>
      <c r="AT5" t="s">
        <v>109</v>
      </c>
      <c r="AU5">
        <f>+AN5/SUM(AN2:AN3)</f>
        <v>5.4660850808720386E-2</v>
      </c>
      <c r="AV5">
        <f>+AO5/SUM(AO2:AO3)</f>
        <v>4.61361819747204E-2</v>
      </c>
      <c r="AX5">
        <f>+AVERAGE(AU5:AV5)</f>
        <v>5.0398516391720397E-2</v>
      </c>
      <c r="BA5" t="s">
        <v>2</v>
      </c>
      <c r="BC5" t="s">
        <v>103</v>
      </c>
    </row>
    <row r="6" spans="2:62">
      <c r="B6">
        <v>1</v>
      </c>
      <c r="C6" t="s">
        <v>33</v>
      </c>
      <c r="D6" t="s">
        <v>34</v>
      </c>
      <c r="E6" s="12">
        <f>+$I6*$G6</f>
        <v>1814.3465901019342</v>
      </c>
      <c r="F6" s="12">
        <f>+$I6*$G6</f>
        <v>1814.3465901019342</v>
      </c>
      <c r="G6" s="9">
        <f>+U9</f>
        <v>36000</v>
      </c>
      <c r="H6" s="9"/>
      <c r="I6" s="6">
        <f>+AX5</f>
        <v>5.0398516391720397E-2</v>
      </c>
      <c r="J6" t="s">
        <v>61</v>
      </c>
      <c r="T6" t="s">
        <v>29</v>
      </c>
      <c r="X6" t="s">
        <v>27</v>
      </c>
      <c r="AC6" t="s">
        <v>47</v>
      </c>
      <c r="AD6" t="s">
        <v>95</v>
      </c>
      <c r="AE6" t="s">
        <v>9</v>
      </c>
      <c r="AG6">
        <v>0.24</v>
      </c>
      <c r="AK6" t="s">
        <v>47</v>
      </c>
      <c r="AL6" t="s">
        <v>107</v>
      </c>
      <c r="AM6" t="s">
        <v>108</v>
      </c>
      <c r="AN6">
        <f t="shared" si="2"/>
        <v>2737.6115440000003</v>
      </c>
      <c r="AO6">
        <f t="shared" si="2"/>
        <v>3186.2767140000001</v>
      </c>
      <c r="AR6" t="s">
        <v>121</v>
      </c>
      <c r="AS6" t="s">
        <v>113</v>
      </c>
      <c r="AT6" t="s">
        <v>109</v>
      </c>
      <c r="AU6">
        <f>+(AN6-AN8)/SUM(AN2:AN3)</f>
        <v>1.6849123394586996E-2</v>
      </c>
      <c r="AV6">
        <f>+(AO6-AO8)/SUM(AO2:AO3)</f>
        <v>2.1292334747397081E-2</v>
      </c>
      <c r="AX6">
        <f>+AVERAGE(AU6:AV6)</f>
        <v>1.907072907099204E-2</v>
      </c>
      <c r="BA6" t="s">
        <v>136</v>
      </c>
      <c r="BB6" t="s">
        <v>46</v>
      </c>
      <c r="BC6">
        <v>2018</v>
      </c>
      <c r="BD6">
        <v>2019</v>
      </c>
      <c r="BE6">
        <v>2020</v>
      </c>
      <c r="BG6">
        <v>2018</v>
      </c>
      <c r="BH6">
        <v>2019</v>
      </c>
      <c r="BI6">
        <v>2020</v>
      </c>
      <c r="BJ6" t="s">
        <v>143</v>
      </c>
    </row>
    <row r="7" spans="2:62">
      <c r="B7">
        <v>1</v>
      </c>
      <c r="C7" t="s">
        <v>33</v>
      </c>
      <c r="D7" t="s">
        <v>28</v>
      </c>
      <c r="E7" s="12">
        <f>+$I7*$G7</f>
        <v>686.54624655571342</v>
      </c>
      <c r="F7" s="12">
        <f>+$I7*$G7</f>
        <v>686.54624655571342</v>
      </c>
      <c r="G7" s="9">
        <f>+G6</f>
        <v>36000</v>
      </c>
      <c r="H7" s="9"/>
      <c r="I7" s="6">
        <f>+AX6</f>
        <v>1.907072907099204E-2</v>
      </c>
      <c r="J7" t="s">
        <v>60</v>
      </c>
      <c r="T7" s="1"/>
      <c r="U7" s="1" t="s">
        <v>20</v>
      </c>
      <c r="V7" s="1" t="s">
        <v>21</v>
      </c>
      <c r="W7" s="2"/>
      <c r="X7" s="1"/>
      <c r="Y7" s="1" t="s">
        <v>22</v>
      </c>
      <c r="Z7" s="1" t="s">
        <v>23</v>
      </c>
      <c r="AC7" t="s">
        <v>47</v>
      </c>
      <c r="AD7" t="s">
        <v>80</v>
      </c>
      <c r="AE7" t="s">
        <v>50</v>
      </c>
      <c r="AF7">
        <v>617.12519999999995</v>
      </c>
      <c r="AG7">
        <v>754.43965000000003</v>
      </c>
      <c r="AK7" t="s">
        <v>101</v>
      </c>
      <c r="AL7" t="s">
        <v>107</v>
      </c>
      <c r="AM7" t="s">
        <v>108</v>
      </c>
      <c r="AN7">
        <f t="shared" si="2"/>
        <v>681.36042000000009</v>
      </c>
      <c r="AO7">
        <f t="shared" si="2"/>
        <v>681.40207900000007</v>
      </c>
      <c r="AP7">
        <f>+SUMIFS(AH$5:AH$102,$AC$5:$AC$102,$AK7,$AE$5:$AE$102,$AM7)</f>
        <v>577.85157800000002</v>
      </c>
      <c r="AR7" t="s">
        <v>122</v>
      </c>
      <c r="AS7" t="s">
        <v>114</v>
      </c>
      <c r="AT7" t="s">
        <v>109</v>
      </c>
      <c r="AU7">
        <f>+(AN7-AN9)/AN4</f>
        <v>0.1353598988629206</v>
      </c>
      <c r="AV7">
        <f>+(AO7-AO9)/AO4</f>
        <v>0.11931534461783919</v>
      </c>
      <c r="AW7">
        <f>+(AP7-AP9)/AP4</f>
        <v>7.8147393437953905E-2</v>
      </c>
      <c r="AX7">
        <f>+AVERAGE(AU7:AV7)</f>
        <v>0.12733762174037988</v>
      </c>
      <c r="BA7" t="s">
        <v>137</v>
      </c>
      <c r="BB7" t="s">
        <v>3</v>
      </c>
      <c r="BC7">
        <v>1.4550000000000001</v>
      </c>
      <c r="BF7" t="s">
        <v>142</v>
      </c>
      <c r="BG7">
        <f>+(BC7+BC8+BC10)/BC13</f>
        <v>0.78876700156773405</v>
      </c>
      <c r="BH7">
        <f>+(BD7+BD8+BD10)/BD13</f>
        <v>0.76987944974601974</v>
      </c>
      <c r="BI7">
        <f>+(BE7+BE8+BE10)/BE13</f>
        <v>0.78902490118413804</v>
      </c>
      <c r="BJ7">
        <f>+AVERAGE(BG7:BH7)</f>
        <v>0.77932322565687695</v>
      </c>
    </row>
    <row r="8" spans="2:62">
      <c r="B8">
        <v>1</v>
      </c>
      <c r="C8" t="s">
        <v>33</v>
      </c>
      <c r="D8" t="s">
        <v>26</v>
      </c>
      <c r="E8" s="12">
        <f>+AP7-AP9</f>
        <v>170.27344900000003</v>
      </c>
      <c r="F8" s="12">
        <f>$I8*$G8</f>
        <v>299.24341108989273</v>
      </c>
      <c r="G8" s="9">
        <f>+Y9</f>
        <v>2350</v>
      </c>
      <c r="H8" s="9"/>
      <c r="I8" s="6">
        <f>+AX7</f>
        <v>0.12733762174037988</v>
      </c>
      <c r="J8" t="s">
        <v>59</v>
      </c>
      <c r="T8" s="3" t="s">
        <v>24</v>
      </c>
      <c r="U8" s="3">
        <v>2020</v>
      </c>
      <c r="V8" s="3">
        <v>2021</v>
      </c>
      <c r="W8" s="2"/>
      <c r="X8" s="3" t="s">
        <v>24</v>
      </c>
      <c r="Y8" s="3">
        <v>2020</v>
      </c>
      <c r="Z8" s="3">
        <v>2021</v>
      </c>
      <c r="AC8" t="s">
        <v>47</v>
      </c>
      <c r="AD8" t="s">
        <v>80</v>
      </c>
      <c r="AE8" t="s">
        <v>3</v>
      </c>
      <c r="AF8">
        <v>107.47224</v>
      </c>
      <c r="AG8">
        <v>82.421999999999997</v>
      </c>
      <c r="AK8" t="s">
        <v>47</v>
      </c>
      <c r="AL8" t="s">
        <v>58</v>
      </c>
      <c r="AM8" t="s">
        <v>108</v>
      </c>
      <c r="AN8">
        <f t="shared" ref="AN8:AO11" si="3">+SUMIFS(AF$5:AF$102,$AC$5:$AC$102,$AK8,$AD$5:$AD$102,$AL8,$AE$5:$AE$102,$AM8)</f>
        <v>2269.7607940000003</v>
      </c>
      <c r="AO8">
        <f t="shared" si="3"/>
        <v>2523.7316459999997</v>
      </c>
      <c r="BB8" t="s">
        <v>4</v>
      </c>
      <c r="BC8">
        <v>43.754999999999995</v>
      </c>
      <c r="BD8">
        <v>118.24299999999999</v>
      </c>
      <c r="BE8">
        <v>85.036000000000001</v>
      </c>
    </row>
    <row r="9" spans="2:62">
      <c r="B9">
        <v>18</v>
      </c>
      <c r="C9" t="s">
        <v>35</v>
      </c>
      <c r="D9" t="s">
        <v>28</v>
      </c>
      <c r="E9" s="12">
        <f>+U10</f>
        <v>2819</v>
      </c>
      <c r="F9" s="12">
        <f>+E9</f>
        <v>2819</v>
      </c>
      <c r="G9">
        <f>+U10</f>
        <v>2819</v>
      </c>
      <c r="J9" t="s">
        <v>12</v>
      </c>
      <c r="T9" s="4" t="s">
        <v>64</v>
      </c>
      <c r="U9" s="4">
        <v>36000</v>
      </c>
      <c r="V9" s="4">
        <v>36000</v>
      </c>
      <c r="W9" s="2"/>
      <c r="X9" s="4" t="s">
        <v>65</v>
      </c>
      <c r="Y9" s="4">
        <v>2350</v>
      </c>
      <c r="Z9" s="4">
        <v>2350</v>
      </c>
      <c r="AC9" t="s">
        <v>47</v>
      </c>
      <c r="AD9" t="s">
        <v>80</v>
      </c>
      <c r="AE9" t="s">
        <v>8</v>
      </c>
      <c r="AF9">
        <v>1764.4041</v>
      </c>
      <c r="AG9">
        <v>1892.3007500000001</v>
      </c>
      <c r="AK9" t="s">
        <v>101</v>
      </c>
      <c r="AL9" t="s">
        <v>58</v>
      </c>
      <c r="AM9" t="s">
        <v>108</v>
      </c>
      <c r="AN9">
        <f t="shared" si="3"/>
        <v>407.00226000000004</v>
      </c>
      <c r="AO9">
        <f t="shared" si="3"/>
        <v>406.29118800000003</v>
      </c>
      <c r="AP9">
        <f>+SUMIFS(AH$5:AH$102,$AC$5:$AC$102,$AK9,$AD$5:$AD$102,$AL9,$AE$5:$AE$102,$AM9)</f>
        <v>407.57812899999999</v>
      </c>
      <c r="BB9" t="s">
        <v>5</v>
      </c>
      <c r="BC9">
        <v>103.24428</v>
      </c>
      <c r="BD9">
        <v>92.277414000000007</v>
      </c>
      <c r="BE9">
        <v>56.357414000000006</v>
      </c>
    </row>
    <row r="10" spans="2:62">
      <c r="B10">
        <v>18</v>
      </c>
      <c r="C10" t="s">
        <v>35</v>
      </c>
      <c r="D10" t="s">
        <v>26</v>
      </c>
      <c r="E10" s="12">
        <f>+AP9</f>
        <v>407.57812899999999</v>
      </c>
      <c r="F10" s="12">
        <f>+Z10</f>
        <v>407.48</v>
      </c>
      <c r="G10" s="9">
        <f>+Y10</f>
        <v>407.48</v>
      </c>
      <c r="J10" t="s">
        <v>13</v>
      </c>
      <c r="Q10" s="2"/>
      <c r="T10" s="2" t="s">
        <v>58</v>
      </c>
      <c r="U10" s="2">
        <v>2819</v>
      </c>
      <c r="V10" s="2">
        <v>2819</v>
      </c>
      <c r="W10" s="2"/>
      <c r="X10" s="2" t="s">
        <v>58</v>
      </c>
      <c r="Y10" s="2">
        <v>407.48</v>
      </c>
      <c r="Z10" s="2">
        <v>407.48</v>
      </c>
      <c r="AC10" t="s">
        <v>47</v>
      </c>
      <c r="AD10" t="s">
        <v>74</v>
      </c>
      <c r="AE10" t="s">
        <v>50</v>
      </c>
      <c r="AF10">
        <v>71.462009999999992</v>
      </c>
      <c r="AG10">
        <v>88.1755</v>
      </c>
      <c r="AK10" t="s">
        <v>47</v>
      </c>
      <c r="AL10" t="s">
        <v>80</v>
      </c>
      <c r="AM10" t="s">
        <v>50</v>
      </c>
      <c r="AN10">
        <f t="shared" si="3"/>
        <v>617.12519999999995</v>
      </c>
      <c r="AO10">
        <f t="shared" si="3"/>
        <v>754.43965000000003</v>
      </c>
      <c r="AR10" t="s">
        <v>118</v>
      </c>
      <c r="AS10" t="s">
        <v>112</v>
      </c>
      <c r="AT10" t="str">
        <f>+AL10</f>
        <v>EU-España</v>
      </c>
      <c r="AU10">
        <f>+AN10/(AN12+AN14)</f>
        <v>0.11878805747009417</v>
      </c>
      <c r="AV10">
        <f>+AO10/(AO12+AO14)</f>
        <v>0.13999254096445862</v>
      </c>
      <c r="AX10" s="8">
        <f>+AVERAGE(AU10:AV10)</f>
        <v>0.12939029921727641</v>
      </c>
      <c r="BB10" t="s">
        <v>6</v>
      </c>
      <c r="BC10">
        <v>765.851</v>
      </c>
      <c r="BD10">
        <v>798.63499999999999</v>
      </c>
      <c r="BE10">
        <v>848.76900000000001</v>
      </c>
    </row>
    <row r="11" spans="2:62">
      <c r="B11">
        <v>4</v>
      </c>
      <c r="C11" t="s">
        <v>36</v>
      </c>
      <c r="D11" t="s">
        <v>28</v>
      </c>
      <c r="E11" s="12">
        <f>+U15*AX10+U16*AX11</f>
        <v>888.87269879913219</v>
      </c>
      <c r="F11" s="12">
        <f>+E11</f>
        <v>888.87269879913219</v>
      </c>
      <c r="G11" t="s">
        <v>83</v>
      </c>
      <c r="I11" t="s">
        <v>82</v>
      </c>
      <c r="J11" t="s">
        <v>14</v>
      </c>
      <c r="T11" s="2" t="s">
        <v>66</v>
      </c>
      <c r="U11" s="2">
        <v>3284</v>
      </c>
      <c r="V11" s="2">
        <v>3284</v>
      </c>
      <c r="W11" s="2"/>
      <c r="X11" s="2" t="s">
        <v>1</v>
      </c>
      <c r="Y11" s="2">
        <v>530.59</v>
      </c>
      <c r="Z11" s="2">
        <v>530.59</v>
      </c>
      <c r="AC11" t="s">
        <v>47</v>
      </c>
      <c r="AD11" t="s">
        <v>74</v>
      </c>
      <c r="AE11" t="s">
        <v>4</v>
      </c>
      <c r="AF11">
        <v>0.46200000000000002</v>
      </c>
      <c r="AG11">
        <v>1.206</v>
      </c>
      <c r="AK11" t="s">
        <v>47</v>
      </c>
      <c r="AL11" t="s">
        <v>74</v>
      </c>
      <c r="AM11" t="s">
        <v>50</v>
      </c>
      <c r="AN11">
        <f t="shared" si="3"/>
        <v>71.462009999999992</v>
      </c>
      <c r="AO11">
        <f t="shared" si="3"/>
        <v>88.1755</v>
      </c>
      <c r="AR11" t="s">
        <v>119</v>
      </c>
      <c r="AS11" t="s">
        <v>112</v>
      </c>
      <c r="AT11" t="str">
        <f>+AL11</f>
        <v>EU-France</v>
      </c>
      <c r="AU11">
        <f>+AN11/(AN13+AN15)</f>
        <v>1.4824247587444902E-2</v>
      </c>
      <c r="AV11">
        <f>+AO11/(AO13+AO15)</f>
        <v>1.6385128602070007E-2</v>
      </c>
      <c r="AX11" s="8">
        <f>+AVERAGE(AU11:AV11)</f>
        <v>1.5604688094757454E-2</v>
      </c>
      <c r="BB11" t="s">
        <v>8</v>
      </c>
      <c r="BE11">
        <v>0.77600000000000002</v>
      </c>
    </row>
    <row r="12" spans="2:62">
      <c r="B12">
        <v>7</v>
      </c>
      <c r="C12" t="s">
        <v>37</v>
      </c>
      <c r="D12" t="s">
        <v>34</v>
      </c>
      <c r="E12" s="12">
        <f t="shared" ref="E12:F14" si="4">+$I12*$G12</f>
        <v>21523.709456608998</v>
      </c>
      <c r="F12" s="12">
        <f t="shared" si="4"/>
        <v>21523.709456608998</v>
      </c>
      <c r="G12" s="10">
        <f>+G7</f>
        <v>36000</v>
      </c>
      <c r="I12">
        <f>+AX16</f>
        <v>0.59788081823913886</v>
      </c>
      <c r="J12" t="s">
        <v>84</v>
      </c>
      <c r="T12" s="2" t="s">
        <v>67</v>
      </c>
      <c r="U12" s="2">
        <v>300</v>
      </c>
      <c r="V12" s="2">
        <v>300</v>
      </c>
      <c r="W12" s="2"/>
      <c r="X12" s="2" t="s">
        <v>68</v>
      </c>
      <c r="Y12" s="2">
        <v>1272.8599999999999</v>
      </c>
      <c r="Z12" s="2">
        <v>1272.8599999999999</v>
      </c>
      <c r="AC12" t="s">
        <v>47</v>
      </c>
      <c r="AD12" t="s">
        <v>74</v>
      </c>
      <c r="AE12" t="s">
        <v>5</v>
      </c>
      <c r="AF12">
        <v>68.712999999999994</v>
      </c>
      <c r="AG12">
        <v>54.705599999999997</v>
      </c>
      <c r="AK12" t="s">
        <v>47</v>
      </c>
      <c r="AL12" t="s">
        <v>80</v>
      </c>
      <c r="AM12" t="s">
        <v>107</v>
      </c>
      <c r="AN12">
        <f t="shared" ref="AN12:AO15" si="5">+SUMIFS(AF$5:AF$102,$AC$5:$AC$102,$AK12,$AD$5:$AD$102,$AL12)</f>
        <v>2489.0015400000002</v>
      </c>
      <c r="AO12">
        <f t="shared" si="5"/>
        <v>2729.1624000000002</v>
      </c>
      <c r="BA12" t="s">
        <v>138</v>
      </c>
      <c r="BB12" t="s">
        <v>6</v>
      </c>
      <c r="BC12">
        <v>113.959085</v>
      </c>
      <c r="BD12">
        <v>181.78168700000001</v>
      </c>
      <c r="BE12">
        <v>192.55401899999998</v>
      </c>
      <c r="BF12" t="s">
        <v>141</v>
      </c>
      <c r="BG12">
        <f>+BC12/BC13</f>
        <v>0.11082664038445016</v>
      </c>
      <c r="BH12">
        <f>+BD12/BD13</f>
        <v>0.15263752119852719</v>
      </c>
      <c r="BI12">
        <f>+BE12/BE13</f>
        <v>0.16269983113614045</v>
      </c>
      <c r="BJ12">
        <f>+AVERAGE(BG12:BH12)</f>
        <v>0.13173208079148868</v>
      </c>
    </row>
    <row r="13" spans="2:62">
      <c r="B13">
        <v>8</v>
      </c>
      <c r="C13" t="s">
        <v>38</v>
      </c>
      <c r="D13" t="s">
        <v>34</v>
      </c>
      <c r="E13" s="12">
        <f t="shared" si="4"/>
        <v>272.25691205862756</v>
      </c>
      <c r="F13" s="12">
        <f t="shared" si="4"/>
        <v>272.25691205862756</v>
      </c>
      <c r="G13" s="2">
        <f>+U12</f>
        <v>300</v>
      </c>
      <c r="I13">
        <f>+AX19</f>
        <v>0.90752304019542529</v>
      </c>
      <c r="J13" t="s">
        <v>15</v>
      </c>
      <c r="T13" s="2" t="s">
        <v>69</v>
      </c>
      <c r="U13" s="2">
        <v>170.23</v>
      </c>
      <c r="V13" s="2">
        <v>170.23</v>
      </c>
      <c r="W13" s="2"/>
      <c r="X13" s="2" t="s">
        <v>70</v>
      </c>
      <c r="Y13" s="2">
        <v>128.44</v>
      </c>
      <c r="Z13" s="2">
        <v>128.44</v>
      </c>
      <c r="AC13" t="s">
        <v>47</v>
      </c>
      <c r="AD13" t="s">
        <v>74</v>
      </c>
      <c r="AE13" t="s">
        <v>6</v>
      </c>
      <c r="AG13">
        <v>8.1784999999999997</v>
      </c>
      <c r="AK13" t="s">
        <v>47</v>
      </c>
      <c r="AL13" t="s">
        <v>74</v>
      </c>
      <c r="AM13" t="s">
        <v>107</v>
      </c>
      <c r="AN13">
        <f t="shared" si="5"/>
        <v>460.99801000000002</v>
      </c>
      <c r="AO13">
        <f t="shared" si="5"/>
        <v>462.33110000000005</v>
      </c>
      <c r="BA13" t="s">
        <v>140</v>
      </c>
      <c r="BC13">
        <f>+SUM(BC7:BC12)</f>
        <v>1028.264365</v>
      </c>
      <c r="BD13">
        <f>+SUM(BD7:BD12)</f>
        <v>1190.937101</v>
      </c>
      <c r="BE13">
        <f>+SUM(BE7:BE12)</f>
        <v>1183.4924329999999</v>
      </c>
    </row>
    <row r="14" spans="2:62">
      <c r="B14">
        <v>9</v>
      </c>
      <c r="C14" t="s">
        <v>39</v>
      </c>
      <c r="D14" t="s">
        <v>34</v>
      </c>
      <c r="E14" s="12">
        <f t="shared" si="4"/>
        <v>869.48079015129474</v>
      </c>
      <c r="F14" s="12">
        <f t="shared" si="4"/>
        <v>869.48079015129474</v>
      </c>
      <c r="G14">
        <f>+U17</f>
        <v>957.45</v>
      </c>
      <c r="I14">
        <f>+AX17</f>
        <v>0.90812135375350644</v>
      </c>
      <c r="J14" t="s">
        <v>16</v>
      </c>
      <c r="T14" s="2" t="s">
        <v>71</v>
      </c>
      <c r="U14" s="2">
        <v>316.39</v>
      </c>
      <c r="V14" s="2">
        <v>316.39</v>
      </c>
      <c r="W14" s="2"/>
      <c r="X14" s="3" t="s">
        <v>72</v>
      </c>
      <c r="Y14" s="3">
        <v>10.62</v>
      </c>
      <c r="Z14" s="3">
        <v>10.62</v>
      </c>
      <c r="AC14" t="s">
        <v>47</v>
      </c>
      <c r="AD14" t="s">
        <v>74</v>
      </c>
      <c r="AE14" t="s">
        <v>53</v>
      </c>
      <c r="AF14">
        <v>5.19</v>
      </c>
      <c r="AK14" t="s">
        <v>102</v>
      </c>
      <c r="AL14" t="s">
        <v>80</v>
      </c>
      <c r="AM14" t="s">
        <v>107</v>
      </c>
      <c r="AN14">
        <f t="shared" si="5"/>
        <v>2706.1772780000001</v>
      </c>
      <c r="AO14">
        <f t="shared" si="5"/>
        <v>2659.97937</v>
      </c>
    </row>
    <row r="15" spans="2:62">
      <c r="B15">
        <v>11</v>
      </c>
      <c r="C15" t="s">
        <v>40</v>
      </c>
      <c r="D15" t="s">
        <v>26</v>
      </c>
      <c r="E15">
        <v>0</v>
      </c>
      <c r="F15">
        <v>0</v>
      </c>
      <c r="I15">
        <f>+AX21</f>
        <v>0</v>
      </c>
      <c r="T15" s="2" t="s">
        <v>73</v>
      </c>
      <c r="U15" s="2">
        <v>6139.13</v>
      </c>
      <c r="V15" s="2">
        <v>6139.13</v>
      </c>
      <c r="W15" s="2"/>
      <c r="X15" s="2"/>
      <c r="Y15" s="2"/>
      <c r="Z15" s="2"/>
      <c r="AC15" t="s">
        <v>47</v>
      </c>
      <c r="AD15" t="s">
        <v>74</v>
      </c>
      <c r="AE15" t="s">
        <v>54</v>
      </c>
      <c r="AG15">
        <v>0.85599999999999998</v>
      </c>
      <c r="AK15" t="s">
        <v>102</v>
      </c>
      <c r="AL15" t="s">
        <v>74</v>
      </c>
      <c r="AM15" t="s">
        <v>107</v>
      </c>
      <c r="AN15">
        <f t="shared" si="5"/>
        <v>4359.6183199999996</v>
      </c>
      <c r="AO15">
        <f t="shared" si="5"/>
        <v>4919.103623</v>
      </c>
    </row>
    <row r="16" spans="2:62">
      <c r="B16">
        <v>13</v>
      </c>
      <c r="C16" t="s">
        <v>41</v>
      </c>
      <c r="D16" t="s">
        <v>28</v>
      </c>
      <c r="E16" s="12">
        <f>+AX28*U15+AX29*U20+AX30*U11</f>
        <v>5243.2022288220087</v>
      </c>
      <c r="F16" s="12">
        <f>+E16</f>
        <v>5243.2022288220087</v>
      </c>
      <c r="G16" t="s">
        <v>159</v>
      </c>
      <c r="I16" t="s">
        <v>157</v>
      </c>
      <c r="J16" t="s">
        <v>17</v>
      </c>
      <c r="T16" s="2" t="s">
        <v>74</v>
      </c>
      <c r="U16" s="2">
        <v>6057.72</v>
      </c>
      <c r="V16" s="2">
        <v>6057.72</v>
      </c>
      <c r="W16" s="2"/>
      <c r="X16" s="2"/>
      <c r="Y16" s="2"/>
      <c r="Z16" s="2"/>
      <c r="AC16" t="s">
        <v>47</v>
      </c>
      <c r="AD16" t="s">
        <v>74</v>
      </c>
      <c r="AE16" t="s">
        <v>9</v>
      </c>
      <c r="AF16">
        <v>315.17100000000005</v>
      </c>
      <c r="AG16">
        <v>309.20950000000005</v>
      </c>
      <c r="AK16" t="s">
        <v>102</v>
      </c>
      <c r="AL16" t="s">
        <v>107</v>
      </c>
      <c r="AM16" t="s">
        <v>115</v>
      </c>
      <c r="AN16">
        <f>+SUMIFS(AF$5:AF$102,$AC$5:$AC$102,$AK16,$AE$5:$AE$102,$AM16)</f>
        <v>17133.986255000003</v>
      </c>
      <c r="AO16">
        <f>+SUMIFS(AG$5:AG$102,$AC$5:$AC$102,$AK16,$AE$5:$AE$102,$AM16)</f>
        <v>19518.695903</v>
      </c>
      <c r="AR16" t="s">
        <v>116</v>
      </c>
      <c r="AT16" t="s">
        <v>123</v>
      </c>
      <c r="AU16">
        <f>+(AN16-AN17)/SUM(AN2:AN3)</f>
        <v>0.59261878755772912</v>
      </c>
      <c r="AV16">
        <f>+(AO16-AO17)/SUM(AO2:AO3)</f>
        <v>0.6031428489205487</v>
      </c>
      <c r="AX16" s="8">
        <f>+AVERAGE(AU16:AV16)</f>
        <v>0.59788081823913886</v>
      </c>
    </row>
    <row r="17" spans="1:50">
      <c r="B17">
        <v>13</v>
      </c>
      <c r="C17" t="s">
        <v>41</v>
      </c>
      <c r="D17" t="s">
        <v>34</v>
      </c>
      <c r="E17" s="12">
        <f>+G17*AX31</f>
        <v>0.16836881505902559</v>
      </c>
      <c r="F17" s="12">
        <f>+E17</f>
        <v>0.16836881505902559</v>
      </c>
      <c r="G17">
        <f>+V15</f>
        <v>6139.13</v>
      </c>
      <c r="I17" t="s">
        <v>158</v>
      </c>
      <c r="J17" t="s">
        <v>161</v>
      </c>
      <c r="T17" s="2" t="s">
        <v>75</v>
      </c>
      <c r="U17" s="2">
        <v>957.45</v>
      </c>
      <c r="V17" s="2">
        <v>957.45</v>
      </c>
      <c r="W17" s="2"/>
      <c r="X17" s="2"/>
      <c r="Y17" s="2"/>
      <c r="Z17" s="2"/>
      <c r="AC17" t="s">
        <v>47</v>
      </c>
      <c r="AD17" t="s">
        <v>96</v>
      </c>
      <c r="AE17" t="s">
        <v>9</v>
      </c>
      <c r="AF17">
        <v>16.635000000000002</v>
      </c>
      <c r="AG17">
        <v>6.407</v>
      </c>
      <c r="AK17" t="s">
        <v>102</v>
      </c>
      <c r="AL17" t="s">
        <v>75</v>
      </c>
      <c r="AM17" t="s">
        <v>115</v>
      </c>
      <c r="AN17">
        <f>+SUMIFS(AF$5:AF$102,$AC$5:$AC$102,$AK17,$AD$5:$AD$102,$AL17,$AE$5:$AE$102,$AM17)</f>
        <v>678.70026000000007</v>
      </c>
      <c r="AO17">
        <f>+SUMIFS(AG$5:AG$102,$AC$5:$AC$102,$AK17,$AD$5:$AD$102,$AL17,$AE$5:$AE$102,$AM17)</f>
        <v>750.94100000000003</v>
      </c>
      <c r="AR17" t="s">
        <v>117</v>
      </c>
      <c r="AT17" t="s">
        <v>124</v>
      </c>
      <c r="AU17">
        <f>+AN17/AN18</f>
        <v>0.91228358392222786</v>
      </c>
      <c r="AV17">
        <f>+AO17/AO18</f>
        <v>0.90395912358478503</v>
      </c>
      <c r="AX17" s="8">
        <f>+AVERAGE(AU17:AV17)</f>
        <v>0.90812135375350644</v>
      </c>
    </row>
    <row r="18" spans="1:50">
      <c r="A18" s="8"/>
      <c r="B18" s="8">
        <v>14</v>
      </c>
      <c r="C18" s="8" t="s">
        <v>42</v>
      </c>
      <c r="D18" s="8" t="s">
        <v>26</v>
      </c>
      <c r="E18" s="13">
        <f>+SUM(AP25:AP27)</f>
        <v>461.44320299999998</v>
      </c>
      <c r="F18" s="13">
        <f>+$I18*$G18</f>
        <v>415.17554370599134</v>
      </c>
      <c r="G18" s="14">
        <f>+Z11</f>
        <v>530.59</v>
      </c>
      <c r="I18">
        <f>+AX24</f>
        <v>0.78247902091255261</v>
      </c>
      <c r="J18" t="s">
        <v>131</v>
      </c>
      <c r="T18" s="2" t="s">
        <v>76</v>
      </c>
      <c r="U18" s="2">
        <v>4781.0600000000004</v>
      </c>
      <c r="V18" s="2">
        <v>4781.0600000000004</v>
      </c>
      <c r="W18" s="2"/>
      <c r="X18" s="2"/>
      <c r="Y18" s="2"/>
      <c r="Z18" s="2"/>
      <c r="AC18" t="s">
        <v>47</v>
      </c>
      <c r="AD18" t="s">
        <v>97</v>
      </c>
      <c r="AE18" t="s">
        <v>9</v>
      </c>
      <c r="AF18">
        <v>7.1999999999999995E-2</v>
      </c>
      <c r="AK18" t="s">
        <v>102</v>
      </c>
      <c r="AL18" t="s">
        <v>75</v>
      </c>
      <c r="AM18" t="s">
        <v>107</v>
      </c>
      <c r="AN18">
        <f>+SUMIFS(AF$5:AF$102,$AC$5:$AC$102,$AK18,$AD$5:$AD$102,$AL18)</f>
        <v>743.95755000000008</v>
      </c>
      <c r="AO18">
        <f>+SUMIFS(AG$5:AG$102,$AC$5:$AC$102,$AK18,$AD$5:$AD$102,$AL18)</f>
        <v>830.72451000000001</v>
      </c>
    </row>
    <row r="19" spans="1:50">
      <c r="A19" s="8"/>
      <c r="B19" s="8">
        <v>15</v>
      </c>
      <c r="C19" s="8" t="s">
        <v>43</v>
      </c>
      <c r="D19" s="8" t="s">
        <v>26</v>
      </c>
      <c r="E19" s="13">
        <f>+BE12</f>
        <v>192.55401899999998</v>
      </c>
      <c r="F19" s="13">
        <f>+$I19*$G19</f>
        <v>167.67649635625426</v>
      </c>
      <c r="G19" s="14">
        <f>+Z12</f>
        <v>1272.8599999999999</v>
      </c>
      <c r="I19">
        <f>+BJ12</f>
        <v>0.13173208079148868</v>
      </c>
      <c r="J19" t="s">
        <v>18</v>
      </c>
      <c r="T19" s="2" t="s">
        <v>77</v>
      </c>
      <c r="U19" s="2">
        <v>392.26</v>
      </c>
      <c r="V19" s="2">
        <v>392.26</v>
      </c>
      <c r="W19" s="2"/>
      <c r="X19" s="2"/>
      <c r="Y19" s="2"/>
      <c r="Z19" s="2"/>
      <c r="AC19" t="s">
        <v>47</v>
      </c>
      <c r="AD19" t="s">
        <v>78</v>
      </c>
      <c r="AE19" t="s">
        <v>50</v>
      </c>
      <c r="AF19">
        <v>3.5404400000000003</v>
      </c>
      <c r="AG19">
        <v>2.83135</v>
      </c>
      <c r="AK19" t="s">
        <v>47</v>
      </c>
      <c r="AL19" t="s">
        <v>126</v>
      </c>
      <c r="AM19" t="s">
        <v>115</v>
      </c>
      <c r="AN19">
        <f>+SUMIFS(AF$5:AF$102,$AC$5:$AC$102,$AK19,$AD$5:$AD$102,$AL19,$AE$5:$AE$102,$AM19)</f>
        <v>10.507999999999999</v>
      </c>
      <c r="AO19">
        <f>+SUMIFS(AG$5:AG$102,$AC$5:$AC$102,$AK19,$AD$5:$AD$102,$AL19,$AE$5:$AE$102,$AM19)</f>
        <v>47.530999999999999</v>
      </c>
      <c r="AR19" t="s">
        <v>127</v>
      </c>
      <c r="AT19" t="s">
        <v>127</v>
      </c>
      <c r="AU19">
        <f>+AN19/AN20</f>
        <v>0.85085020242914977</v>
      </c>
      <c r="AV19">
        <f>+AO19/AO20</f>
        <v>0.9641958779617007</v>
      </c>
      <c r="AX19" s="8">
        <f>+AVERAGE(AU19:AV19)</f>
        <v>0.90752304019542529</v>
      </c>
    </row>
    <row r="20" spans="1:50">
      <c r="B20">
        <v>16</v>
      </c>
      <c r="C20" t="s">
        <v>44</v>
      </c>
      <c r="D20" t="s">
        <v>26</v>
      </c>
      <c r="E20" s="12">
        <f>+BC7+BC8+BC10</f>
        <v>811.06100000000004</v>
      </c>
      <c r="F20" s="12">
        <f>+$I20*$G20</f>
        <v>991.96936100961227</v>
      </c>
      <c r="G20" s="9">
        <f>+G19</f>
        <v>1272.8599999999999</v>
      </c>
      <c r="I20">
        <f>+BJ7</f>
        <v>0.77932322565687695</v>
      </c>
      <c r="J20" t="s">
        <v>19</v>
      </c>
      <c r="T20" s="2" t="s">
        <v>78</v>
      </c>
      <c r="U20" s="2">
        <v>577.29</v>
      </c>
      <c r="V20" s="2">
        <v>577.29</v>
      </c>
      <c r="W20" s="2"/>
      <c r="X20" t="s">
        <v>57</v>
      </c>
      <c r="Y20" s="2">
        <v>2018</v>
      </c>
      <c r="Z20" s="2">
        <v>2019</v>
      </c>
      <c r="AA20" s="2">
        <v>2020</v>
      </c>
      <c r="AC20" t="s">
        <v>47</v>
      </c>
      <c r="AD20" t="s">
        <v>78</v>
      </c>
      <c r="AE20" t="s">
        <v>51</v>
      </c>
      <c r="AG20">
        <v>0.20499999999999999</v>
      </c>
      <c r="AK20" t="s">
        <v>47</v>
      </c>
      <c r="AL20" t="s">
        <v>126</v>
      </c>
      <c r="AM20" t="s">
        <v>107</v>
      </c>
      <c r="AN20">
        <f>+SUMIFS(AF$5:AF$102,$AC$5:$AC$102,$AK20,$AD$5:$AD$102,$AL20)</f>
        <v>12.35</v>
      </c>
      <c r="AO20">
        <f>+SUMIFS(AG$5:AG$102,$AC$5:$AC$102,$AK20,$AD$5:$AD$102,$AL20)</f>
        <v>49.295999999999999</v>
      </c>
    </row>
    <row r="21" spans="1:50">
      <c r="B21">
        <v>17</v>
      </c>
      <c r="C21" t="s">
        <v>45</v>
      </c>
      <c r="D21" t="s">
        <v>34</v>
      </c>
      <c r="E21" s="11">
        <f t="shared" ref="E21:F22" si="6">$G21*$I21-SUMIF($D$6:$D$20,$D21,E$6:E$20)</f>
        <v>818.62553807657241</v>
      </c>
      <c r="F21" s="11">
        <f t="shared" si="6"/>
        <v>818.62553807657241</v>
      </c>
      <c r="G21" s="9">
        <f>+G6</f>
        <v>36000</v>
      </c>
      <c r="I21">
        <f>+AX3</f>
        <v>0.70273854599479124</v>
      </c>
      <c r="J21" t="s">
        <v>162</v>
      </c>
      <c r="T21" s="2" t="s">
        <v>79</v>
      </c>
      <c r="U21" s="2">
        <v>68.459999999999994</v>
      </c>
      <c r="V21" s="2">
        <v>68.459999999999994</v>
      </c>
      <c r="X21" s="2" t="s">
        <v>56</v>
      </c>
      <c r="Y21" s="2">
        <v>79.834999999999994</v>
      </c>
      <c r="Z21" s="2">
        <v>39.344000000000001</v>
      </c>
      <c r="AA21" s="2">
        <f>+SUM(Z25:AA25)/1000</f>
        <v>29.591999999999999</v>
      </c>
      <c r="AC21" t="s">
        <v>47</v>
      </c>
      <c r="AD21" t="s">
        <v>78</v>
      </c>
      <c r="AE21" t="s">
        <v>3</v>
      </c>
      <c r="AF21">
        <v>3.9279999999999999</v>
      </c>
      <c r="AG21">
        <v>1.0920000000000001</v>
      </c>
      <c r="AK21" t="s">
        <v>128</v>
      </c>
      <c r="AL21" t="s">
        <v>107</v>
      </c>
      <c r="AM21" t="s">
        <v>115</v>
      </c>
      <c r="AN21">
        <f t="shared" ref="AN21:AO23" si="7">+SUMIFS(AF$5:AF$102,$AC$5:$AC$102,$AK21,$AE$5:$AE$102,$AM21)</f>
        <v>0</v>
      </c>
      <c r="AO21">
        <f t="shared" si="7"/>
        <v>0</v>
      </c>
      <c r="AR21" t="s">
        <v>144</v>
      </c>
      <c r="AU21">
        <f>+AN21</f>
        <v>0</v>
      </c>
      <c r="AV21">
        <f>+AO21</f>
        <v>0</v>
      </c>
      <c r="AX21" s="8">
        <f>+AVERAGE(AU21:AV21)</f>
        <v>0</v>
      </c>
    </row>
    <row r="22" spans="1:50">
      <c r="B22">
        <v>17</v>
      </c>
      <c r="C22" t="s">
        <v>45</v>
      </c>
      <c r="D22" t="s">
        <v>28</v>
      </c>
      <c r="E22" s="11">
        <f>$G22*$I22-SUMIF($D$6:$D$20,$D22,E$6:E$20)</f>
        <v>1063.7911700106561</v>
      </c>
      <c r="F22" s="11">
        <f t="shared" si="6"/>
        <v>1063.7911700106561</v>
      </c>
      <c r="G22" s="9">
        <f>+G21</f>
        <v>36000</v>
      </c>
      <c r="I22">
        <f>+AX2</f>
        <v>0.29726145400520865</v>
      </c>
      <c r="J22" t="s">
        <v>163</v>
      </c>
      <c r="T22" s="3" t="s">
        <v>72</v>
      </c>
      <c r="U22" s="5">
        <v>10137.009999999998</v>
      </c>
      <c r="V22" s="5">
        <v>10137.009999999998</v>
      </c>
      <c r="AC22" t="s">
        <v>47</v>
      </c>
      <c r="AD22" t="s">
        <v>78</v>
      </c>
      <c r="AE22" t="s">
        <v>5</v>
      </c>
      <c r="AF22">
        <v>112.18095</v>
      </c>
      <c r="AG22">
        <v>237.04146800000001</v>
      </c>
      <c r="AK22" t="s">
        <v>47</v>
      </c>
      <c r="AL22" t="s">
        <v>107</v>
      </c>
      <c r="AM22" t="s">
        <v>145</v>
      </c>
      <c r="AN22">
        <f t="shared" si="7"/>
        <v>4258.4690950000004</v>
      </c>
      <c r="AO22">
        <f t="shared" si="7"/>
        <v>4594.9311810000008</v>
      </c>
      <c r="AR22" t="s">
        <v>146</v>
      </c>
      <c r="AU22">
        <f>+AN22/SUM(AN2:AN3)</f>
        <v>0.15336401887501561</v>
      </c>
      <c r="AV22">
        <f>+AO22/SUM(AO2:AO3)</f>
        <v>0.14766816262392671</v>
      </c>
      <c r="AX22" s="8">
        <f t="shared" ref="AX22:AX23" si="8">+AVERAGE(AU22:AV22)</f>
        <v>0.15051609074947114</v>
      </c>
    </row>
    <row r="23" spans="1:50">
      <c r="B23" s="15">
        <v>17</v>
      </c>
      <c r="C23" s="15" t="s">
        <v>45</v>
      </c>
      <c r="D23" s="15" t="s">
        <v>26</v>
      </c>
      <c r="E23" s="16">
        <f>+AP4-SUMIF($D$6:$D$20,$D23,E$6:E$20)</f>
        <v>135.9658029999996</v>
      </c>
      <c r="F23" s="16">
        <f>Z9-SUMIF($D$6:$D$20,$D23,F$6:F$20)</f>
        <v>68.455187838249458</v>
      </c>
      <c r="G23" s="17">
        <f>+G8</f>
        <v>2350</v>
      </c>
      <c r="H23" s="15"/>
      <c r="I23" s="15"/>
      <c r="J23" s="15" t="s">
        <v>164</v>
      </c>
      <c r="Z23" t="s">
        <v>166</v>
      </c>
      <c r="AA23" t="s">
        <v>167</v>
      </c>
      <c r="AC23" t="s">
        <v>47</v>
      </c>
      <c r="AD23" t="s">
        <v>78</v>
      </c>
      <c r="AE23" t="s">
        <v>52</v>
      </c>
      <c r="AF23">
        <v>0.74099999999999999</v>
      </c>
      <c r="AG23">
        <v>7.9860000000000007</v>
      </c>
      <c r="AK23" t="s">
        <v>102</v>
      </c>
      <c r="AL23" t="s">
        <v>107</v>
      </c>
      <c r="AM23" t="s">
        <v>145</v>
      </c>
      <c r="AN23">
        <f t="shared" si="7"/>
        <v>300.08198699999997</v>
      </c>
      <c r="AO23">
        <f t="shared" si="7"/>
        <v>352.81369799999999</v>
      </c>
      <c r="AR23" t="s">
        <v>147</v>
      </c>
      <c r="AU23">
        <f>+AN23/SUM(AN2:AN3)</f>
        <v>1.0807118354423604E-2</v>
      </c>
      <c r="AV23">
        <f>+AO23/SUM(AO2:AO3)</f>
        <v>1.1338439789401702E-2</v>
      </c>
      <c r="AX23" s="8">
        <f t="shared" si="8"/>
        <v>1.1072779071912654E-2</v>
      </c>
    </row>
    <row r="24" spans="1:50">
      <c r="Z24" t="s">
        <v>168</v>
      </c>
      <c r="AA24" t="s">
        <v>169</v>
      </c>
      <c r="AC24" t="s">
        <v>47</v>
      </c>
      <c r="AD24" t="s">
        <v>78</v>
      </c>
      <c r="AE24" t="s">
        <v>8</v>
      </c>
      <c r="AF24">
        <v>329.95301000000001</v>
      </c>
      <c r="AG24">
        <v>225.37343100000001</v>
      </c>
      <c r="AK24" t="s">
        <v>128</v>
      </c>
      <c r="AL24" t="s">
        <v>129</v>
      </c>
      <c r="AM24" t="s">
        <v>130</v>
      </c>
      <c r="AN24">
        <f>+SUMIFS(AF$5:AF$102,$AC$5:$AC$102,$AK24,$AD$5:$AD$102,$AL24)</f>
        <v>511.36554900000004</v>
      </c>
      <c r="AO24">
        <f>+SUMIFS(AG$5:AG$102,$AC$5:$AC$102,$AK24,$AD$5:$AD$102,$AL24)</f>
        <v>668.83481499999994</v>
      </c>
      <c r="AP24">
        <f>+SUMIFS(AH$5:AH$102,$AC$5:$AC$102,$AK24,$AD$5:$AD$102,$AL24)</f>
        <v>558.21304099999998</v>
      </c>
      <c r="AR24" t="s">
        <v>139</v>
      </c>
      <c r="AU24">
        <f>+SUM(AN25:AN27)/AN24</f>
        <v>0.80657979562092086</v>
      </c>
      <c r="AV24">
        <f>+SUM(AO25:AO27)/AO24</f>
        <v>0.75837824620418437</v>
      </c>
      <c r="AX24" s="8">
        <f>+AVERAGE(AU24:AV24)</f>
        <v>0.78247902091255261</v>
      </c>
    </row>
    <row r="25" spans="1:50">
      <c r="J25" t="s">
        <v>17</v>
      </c>
      <c r="Z25">
        <v>28322</v>
      </c>
      <c r="AA25">
        <v>1270</v>
      </c>
      <c r="AC25" t="s">
        <v>47</v>
      </c>
      <c r="AD25" t="s">
        <v>98</v>
      </c>
      <c r="AE25" t="s">
        <v>3</v>
      </c>
      <c r="AF25">
        <v>6.84</v>
      </c>
      <c r="AK25" t="s">
        <v>128</v>
      </c>
      <c r="AL25" t="s">
        <v>129</v>
      </c>
      <c r="AM25" t="s">
        <v>132</v>
      </c>
      <c r="AN25">
        <f t="shared" ref="AN25:AP27" si="9">+SUMIFS(AF$5:AF$102,$AC$5:$AC$102,$AK25,$AD$5:$AD$102,$AL25,$AE$5:$AE$102,$AM25)</f>
        <v>381.94618000000003</v>
      </c>
      <c r="AO25">
        <f t="shared" si="9"/>
        <v>469.66270900000001</v>
      </c>
      <c r="AP25">
        <f t="shared" si="9"/>
        <v>418.50520499999999</v>
      </c>
    </row>
    <row r="26" spans="1:50">
      <c r="F26" t="s">
        <v>160</v>
      </c>
      <c r="G26" s="9">
        <f>+AP4</f>
        <v>2178.8756029999995</v>
      </c>
      <c r="AC26" t="s">
        <v>47</v>
      </c>
      <c r="AD26" t="s">
        <v>88</v>
      </c>
      <c r="AE26" t="s">
        <v>6</v>
      </c>
      <c r="AF26">
        <v>0.23499999999999999</v>
      </c>
      <c r="AG26">
        <v>0.219</v>
      </c>
      <c r="AK26" t="s">
        <v>128</v>
      </c>
      <c r="AL26" t="s">
        <v>129</v>
      </c>
      <c r="AM26" t="s">
        <v>133</v>
      </c>
      <c r="AN26">
        <f t="shared" si="9"/>
        <v>0.126</v>
      </c>
      <c r="AO26">
        <f t="shared" si="9"/>
        <v>0</v>
      </c>
      <c r="AP26">
        <f t="shared" si="9"/>
        <v>0</v>
      </c>
    </row>
    <row r="27" spans="1:50">
      <c r="C27" t="s">
        <v>41</v>
      </c>
      <c r="D27" t="s">
        <v>28</v>
      </c>
      <c r="E27" s="9">
        <f>+$I27*$G27</f>
        <v>5418.5792669809607</v>
      </c>
      <c r="F27" s="9">
        <f>+$I27*$G27</f>
        <v>5418.5792669809607</v>
      </c>
      <c r="G27" s="9">
        <f>+G12</f>
        <v>36000</v>
      </c>
      <c r="I27">
        <f>+AX22</f>
        <v>0.15051609074947114</v>
      </c>
      <c r="J27" t="s">
        <v>148</v>
      </c>
      <c r="AC27" t="s">
        <v>47</v>
      </c>
      <c r="AD27" t="s">
        <v>88</v>
      </c>
      <c r="AE27" t="s">
        <v>8</v>
      </c>
      <c r="AF27">
        <v>0.111985</v>
      </c>
      <c r="AG27">
        <v>0.49199999999999999</v>
      </c>
      <c r="AK27" t="s">
        <v>128</v>
      </c>
      <c r="AL27" t="s">
        <v>129</v>
      </c>
      <c r="AM27" t="s">
        <v>134</v>
      </c>
      <c r="AN27">
        <f t="shared" si="9"/>
        <v>30.38494</v>
      </c>
      <c r="AO27">
        <f t="shared" si="9"/>
        <v>37.567064999999999</v>
      </c>
      <c r="AP27">
        <f t="shared" si="9"/>
        <v>42.937998</v>
      </c>
    </row>
    <row r="28" spans="1:50">
      <c r="C28" t="s">
        <v>41</v>
      </c>
      <c r="D28" t="s">
        <v>34</v>
      </c>
      <c r="E28" s="9">
        <f>+$I28*$G28</f>
        <v>398.62004658885553</v>
      </c>
      <c r="F28" s="9">
        <f>+$I28*$G28</f>
        <v>398.62004658885553</v>
      </c>
      <c r="G28" s="9">
        <f>+G27</f>
        <v>36000</v>
      </c>
      <c r="I28">
        <f>+AX23</f>
        <v>1.1072779071912654E-2</v>
      </c>
      <c r="J28" t="s">
        <v>149</v>
      </c>
      <c r="AC28" t="s">
        <v>47</v>
      </c>
      <c r="AD28" t="s">
        <v>88</v>
      </c>
      <c r="AE28" t="s">
        <v>9</v>
      </c>
      <c r="AF28">
        <v>0.13</v>
      </c>
      <c r="AG28">
        <v>0.16700000000000001</v>
      </c>
      <c r="AK28" t="s">
        <v>47</v>
      </c>
      <c r="AL28" t="s">
        <v>80</v>
      </c>
      <c r="AM28" t="s">
        <v>145</v>
      </c>
      <c r="AN28">
        <f t="shared" ref="AN28:AO33" si="10">+SUMIFS(AF$5:AF$102,$AC$5:$AC$102,$AK28,$AD$5:$AD$102,$AL28,$AE$5:$AE$102,$AM28)</f>
        <v>1764.4041</v>
      </c>
      <c r="AO28">
        <f t="shared" si="10"/>
        <v>1892.3007500000001</v>
      </c>
      <c r="AR28" t="s">
        <v>151</v>
      </c>
      <c r="AU28">
        <f t="shared" ref="AU28:AV30" si="11">+AN28/(AN34+AN37)</f>
        <v>0.33962336270058296</v>
      </c>
      <c r="AV28">
        <f t="shared" si="11"/>
        <v>0.35113211542030004</v>
      </c>
      <c r="AX28" s="8">
        <f t="shared" ref="AX28:AX33" si="12">+AVERAGE(AU28:AV28)</f>
        <v>0.3453777390604415</v>
      </c>
    </row>
    <row r="29" spans="1:50">
      <c r="AC29" t="s">
        <v>47</v>
      </c>
      <c r="AD29" t="s">
        <v>58</v>
      </c>
      <c r="AE29" t="s">
        <v>5</v>
      </c>
      <c r="AF29">
        <v>2269.7607940000003</v>
      </c>
      <c r="AG29">
        <v>2523.7316459999997</v>
      </c>
      <c r="AK29" t="s">
        <v>47</v>
      </c>
      <c r="AL29" t="s">
        <v>150</v>
      </c>
      <c r="AM29" t="s">
        <v>145</v>
      </c>
      <c r="AN29">
        <f t="shared" si="10"/>
        <v>329.95301000000001</v>
      </c>
      <c r="AO29">
        <f t="shared" si="10"/>
        <v>225.37343100000001</v>
      </c>
      <c r="AR29" t="s">
        <v>152</v>
      </c>
      <c r="AU29">
        <f t="shared" si="11"/>
        <v>0.732669802643938</v>
      </c>
      <c r="AV29">
        <f t="shared" si="11"/>
        <v>0.47494107365339661</v>
      </c>
      <c r="AX29" s="8">
        <f t="shared" si="12"/>
        <v>0.60380543814866727</v>
      </c>
    </row>
    <row r="30" spans="1:50">
      <c r="AC30" t="s">
        <v>47</v>
      </c>
      <c r="AD30" t="s">
        <v>99</v>
      </c>
      <c r="AE30" t="s">
        <v>5</v>
      </c>
      <c r="AF30">
        <v>207.9648</v>
      </c>
      <c r="AG30">
        <v>232.43299999999999</v>
      </c>
      <c r="AK30" t="s">
        <v>47</v>
      </c>
      <c r="AL30" t="s">
        <v>90</v>
      </c>
      <c r="AM30" t="s">
        <v>145</v>
      </c>
      <c r="AN30">
        <f t="shared" si="10"/>
        <v>2164</v>
      </c>
      <c r="AO30">
        <f t="shared" si="10"/>
        <v>2475.9459999999999</v>
      </c>
      <c r="AR30" t="s">
        <v>153</v>
      </c>
      <c r="AU30">
        <f t="shared" si="11"/>
        <v>0.84169583819525473</v>
      </c>
      <c r="AV30">
        <f t="shared" si="11"/>
        <v>0.84789767473716648</v>
      </c>
      <c r="AX30" s="8">
        <f t="shared" si="12"/>
        <v>0.84479675646621066</v>
      </c>
    </row>
    <row r="31" spans="1:50">
      <c r="AC31" t="s">
        <v>47</v>
      </c>
      <c r="AD31" t="s">
        <v>90</v>
      </c>
      <c r="AE31" t="s">
        <v>3</v>
      </c>
      <c r="AG31">
        <v>264.91699999999997</v>
      </c>
      <c r="AK31" t="s">
        <v>102</v>
      </c>
      <c r="AL31" t="s">
        <v>80</v>
      </c>
      <c r="AM31" t="s">
        <v>145</v>
      </c>
      <c r="AN31">
        <f t="shared" si="10"/>
        <v>0</v>
      </c>
      <c r="AO31">
        <f t="shared" si="10"/>
        <v>0.29559999999999997</v>
      </c>
      <c r="AR31" t="s">
        <v>154</v>
      </c>
      <c r="AU31">
        <f t="shared" ref="AU31:AV33" si="13">+AN31/(AN34+AN37)</f>
        <v>0</v>
      </c>
      <c r="AV31">
        <f t="shared" si="13"/>
        <v>5.4851034286299718E-5</v>
      </c>
      <c r="AX31" s="8">
        <f t="shared" si="12"/>
        <v>2.7425517143149859E-5</v>
      </c>
    </row>
    <row r="32" spans="1:50">
      <c r="AC32" t="s">
        <v>47</v>
      </c>
      <c r="AD32" t="s">
        <v>90</v>
      </c>
      <c r="AE32" t="s">
        <v>5</v>
      </c>
      <c r="AG32">
        <v>49.237000000000002</v>
      </c>
      <c r="AK32" t="s">
        <v>102</v>
      </c>
      <c r="AL32" t="s">
        <v>150</v>
      </c>
      <c r="AM32" t="s">
        <v>145</v>
      </c>
      <c r="AN32">
        <f t="shared" si="10"/>
        <v>0</v>
      </c>
      <c r="AO32">
        <f t="shared" si="10"/>
        <v>0</v>
      </c>
      <c r="AR32" t="s">
        <v>155</v>
      </c>
      <c r="AU32">
        <f t="shared" si="13"/>
        <v>0</v>
      </c>
      <c r="AV32">
        <f t="shared" si="13"/>
        <v>0</v>
      </c>
      <c r="AX32" s="8">
        <f t="shared" si="12"/>
        <v>0</v>
      </c>
    </row>
    <row r="33" spans="29:50">
      <c r="AC33" t="s">
        <v>47</v>
      </c>
      <c r="AD33" t="s">
        <v>90</v>
      </c>
      <c r="AE33" t="s">
        <v>8</v>
      </c>
      <c r="AF33">
        <v>2164</v>
      </c>
      <c r="AG33">
        <v>2475.9459999999999</v>
      </c>
      <c r="AK33" t="s">
        <v>102</v>
      </c>
      <c r="AL33" t="s">
        <v>90</v>
      </c>
      <c r="AM33" t="s">
        <v>145</v>
      </c>
      <c r="AN33">
        <f t="shared" si="10"/>
        <v>0</v>
      </c>
      <c r="AO33">
        <f t="shared" si="10"/>
        <v>0</v>
      </c>
      <c r="AR33" t="s">
        <v>156</v>
      </c>
      <c r="AU33">
        <f t="shared" si="13"/>
        <v>0</v>
      </c>
      <c r="AV33">
        <f t="shared" si="13"/>
        <v>0</v>
      </c>
      <c r="AX33" s="8">
        <f t="shared" si="12"/>
        <v>0</v>
      </c>
    </row>
    <row r="34" spans="29:50">
      <c r="AC34" t="s">
        <v>47</v>
      </c>
      <c r="AD34" t="s">
        <v>67</v>
      </c>
      <c r="AE34" t="s">
        <v>5</v>
      </c>
      <c r="AG34">
        <v>0.16800000000000001</v>
      </c>
      <c r="AK34" t="s">
        <v>47</v>
      </c>
      <c r="AL34" t="s">
        <v>80</v>
      </c>
      <c r="AM34" t="s">
        <v>130</v>
      </c>
      <c r="AN34">
        <f t="shared" ref="AN34:AO39" si="14">+SUMIFS(AF$5:AF$102,$AC$5:$AC$102,$AK34,$AD$5:$AD$102,$AL34)</f>
        <v>2489.0015400000002</v>
      </c>
      <c r="AO34">
        <f t="shared" si="14"/>
        <v>2729.1624000000002</v>
      </c>
    </row>
    <row r="35" spans="29:50">
      <c r="AC35" t="s">
        <v>47</v>
      </c>
      <c r="AD35" t="s">
        <v>67</v>
      </c>
      <c r="AE35" t="s">
        <v>52</v>
      </c>
      <c r="AF35">
        <v>10.507999999999999</v>
      </c>
      <c r="AG35">
        <v>47.530999999999999</v>
      </c>
      <c r="AK35" t="s">
        <v>47</v>
      </c>
      <c r="AL35" t="s">
        <v>150</v>
      </c>
      <c r="AM35" t="s">
        <v>130</v>
      </c>
      <c r="AN35">
        <f t="shared" si="14"/>
        <v>450.34339999999997</v>
      </c>
      <c r="AO35">
        <f t="shared" si="14"/>
        <v>474.52924900000005</v>
      </c>
    </row>
    <row r="36" spans="29:50">
      <c r="AC36" t="s">
        <v>47</v>
      </c>
      <c r="AD36" t="s">
        <v>67</v>
      </c>
      <c r="AE36" t="s">
        <v>8</v>
      </c>
      <c r="AG36">
        <v>0.81899999999999995</v>
      </c>
      <c r="AK36" t="s">
        <v>47</v>
      </c>
      <c r="AL36" t="s">
        <v>90</v>
      </c>
      <c r="AM36" t="s">
        <v>130</v>
      </c>
      <c r="AN36">
        <f t="shared" si="14"/>
        <v>2164</v>
      </c>
      <c r="AO36">
        <f t="shared" si="14"/>
        <v>2790.1</v>
      </c>
    </row>
    <row r="37" spans="29:50">
      <c r="AC37" t="s">
        <v>47</v>
      </c>
      <c r="AD37" t="s">
        <v>67</v>
      </c>
      <c r="AE37" t="s">
        <v>9</v>
      </c>
      <c r="AF37">
        <v>0.69899999999999995</v>
      </c>
      <c r="AG37">
        <v>0.77799999999999991</v>
      </c>
      <c r="AK37" t="s">
        <v>102</v>
      </c>
      <c r="AL37" t="s">
        <v>80</v>
      </c>
      <c r="AM37" t="s">
        <v>130</v>
      </c>
      <c r="AN37">
        <f t="shared" si="14"/>
        <v>2706.1772780000001</v>
      </c>
      <c r="AO37">
        <f t="shared" si="14"/>
        <v>2659.97937</v>
      </c>
    </row>
    <row r="38" spans="29:50">
      <c r="AC38" t="s">
        <v>47</v>
      </c>
      <c r="AD38" t="s">
        <v>67</v>
      </c>
      <c r="AE38" t="s">
        <v>55</v>
      </c>
      <c r="AF38">
        <v>1.143</v>
      </c>
      <c r="AK38" t="s">
        <v>102</v>
      </c>
      <c r="AL38" t="s">
        <v>150</v>
      </c>
      <c r="AM38" t="s">
        <v>130</v>
      </c>
      <c r="AN38">
        <f t="shared" si="14"/>
        <v>0</v>
      </c>
      <c r="AO38">
        <f t="shared" si="14"/>
        <v>0</v>
      </c>
    </row>
    <row r="39" spans="29:50">
      <c r="AC39" t="s">
        <v>104</v>
      </c>
      <c r="AF39">
        <v>8157.434529000001</v>
      </c>
      <c r="AG39">
        <v>9358.0683950000002</v>
      </c>
      <c r="AK39" t="s">
        <v>102</v>
      </c>
      <c r="AL39" t="s">
        <v>90</v>
      </c>
      <c r="AM39" t="s">
        <v>130</v>
      </c>
      <c r="AN39">
        <f t="shared" si="14"/>
        <v>407</v>
      </c>
      <c r="AO39">
        <f t="shared" si="14"/>
        <v>130</v>
      </c>
    </row>
    <row r="40" spans="29:50">
      <c r="AC40" t="s">
        <v>48</v>
      </c>
      <c r="AD40" t="s">
        <v>1</v>
      </c>
      <c r="AE40" t="s">
        <v>3</v>
      </c>
      <c r="AF40">
        <v>0.126</v>
      </c>
    </row>
    <row r="41" spans="29:50">
      <c r="AC41" t="s">
        <v>48</v>
      </c>
      <c r="AD41" t="s">
        <v>1</v>
      </c>
      <c r="AE41" t="s">
        <v>4</v>
      </c>
      <c r="AF41">
        <v>30.38494</v>
      </c>
      <c r="AG41">
        <v>37.567064999999999</v>
      </c>
      <c r="AH41">
        <v>42.937998</v>
      </c>
    </row>
    <row r="42" spans="29:50">
      <c r="AC42" t="s">
        <v>48</v>
      </c>
      <c r="AD42" t="s">
        <v>1</v>
      </c>
      <c r="AE42" t="s">
        <v>5</v>
      </c>
      <c r="AF42">
        <v>91.278880000000001</v>
      </c>
      <c r="AG42">
        <v>143.48947700000002</v>
      </c>
      <c r="AH42">
        <v>84.324034999999995</v>
      </c>
    </row>
    <row r="43" spans="29:50">
      <c r="AC43" t="s">
        <v>48</v>
      </c>
      <c r="AD43" t="s">
        <v>1</v>
      </c>
      <c r="AE43" t="s">
        <v>6</v>
      </c>
      <c r="AF43">
        <v>381.94618000000003</v>
      </c>
      <c r="AG43">
        <v>469.66270900000001</v>
      </c>
      <c r="AH43">
        <v>418.50520499999999</v>
      </c>
    </row>
    <row r="44" spans="29:50">
      <c r="AC44" t="s">
        <v>48</v>
      </c>
      <c r="AD44" t="s">
        <v>1</v>
      </c>
      <c r="AE44" t="s">
        <v>7</v>
      </c>
      <c r="AF44">
        <v>2.6144509999999999</v>
      </c>
      <c r="AG44">
        <v>11.859557000000001</v>
      </c>
      <c r="AH44">
        <v>4.5191990000000004</v>
      </c>
    </row>
    <row r="45" spans="29:50">
      <c r="AC45" t="s">
        <v>48</v>
      </c>
      <c r="AD45" t="s">
        <v>1</v>
      </c>
      <c r="AE45" t="s">
        <v>8</v>
      </c>
      <c r="AF45">
        <v>2.802098</v>
      </c>
      <c r="AG45">
        <v>3.9100069999999998</v>
      </c>
      <c r="AH45">
        <v>3.5046040000000001</v>
      </c>
    </row>
    <row r="46" spans="29:50">
      <c r="AC46" t="s">
        <v>48</v>
      </c>
      <c r="AD46" t="s">
        <v>1</v>
      </c>
      <c r="AE46" t="s">
        <v>9</v>
      </c>
      <c r="AF46">
        <v>2.2130000000000001</v>
      </c>
      <c r="AG46">
        <v>2.3460000000000001</v>
      </c>
      <c r="AH46">
        <v>4.4219999999999997</v>
      </c>
    </row>
    <row r="47" spans="29:50">
      <c r="AC47" t="s">
        <v>48</v>
      </c>
      <c r="AD47" t="s">
        <v>58</v>
      </c>
      <c r="AE47" t="s">
        <v>5</v>
      </c>
      <c r="AF47">
        <v>407.00226000000004</v>
      </c>
      <c r="AG47">
        <v>406.29118800000003</v>
      </c>
      <c r="AH47">
        <v>407.57812899999999</v>
      </c>
    </row>
    <row r="48" spans="29:50">
      <c r="AC48" t="s">
        <v>48</v>
      </c>
      <c r="AD48" t="s">
        <v>70</v>
      </c>
      <c r="AE48" t="s">
        <v>5</v>
      </c>
      <c r="AF48">
        <v>79.834999999999994</v>
      </c>
      <c r="AG48">
        <v>39.344000000000001</v>
      </c>
      <c r="AH48" s="7">
        <f>+AA21</f>
        <v>29.591999999999999</v>
      </c>
    </row>
    <row r="49" spans="29:34">
      <c r="AC49" t="s">
        <v>48</v>
      </c>
      <c r="AD49" t="s">
        <v>100</v>
      </c>
      <c r="AE49" t="s">
        <v>55</v>
      </c>
      <c r="AF49">
        <v>0.41199999999999998</v>
      </c>
      <c r="AG49">
        <v>0.33900000000000002</v>
      </c>
    </row>
    <row r="50" spans="29:34">
      <c r="AC50" t="s">
        <v>48</v>
      </c>
      <c r="AD50" t="s">
        <v>68</v>
      </c>
      <c r="AE50" t="s">
        <v>3</v>
      </c>
      <c r="AF50">
        <v>1.4550000000000001</v>
      </c>
    </row>
    <row r="51" spans="29:34">
      <c r="AC51" t="s">
        <v>48</v>
      </c>
      <c r="AD51" t="s">
        <v>68</v>
      </c>
      <c r="AE51" t="s">
        <v>4</v>
      </c>
      <c r="AF51">
        <v>43.754999999999995</v>
      </c>
      <c r="AG51">
        <v>118.24299999999999</v>
      </c>
      <c r="AH51">
        <v>85.036000000000001</v>
      </c>
    </row>
    <row r="52" spans="29:34">
      <c r="AC52" t="s">
        <v>48</v>
      </c>
      <c r="AD52" t="s">
        <v>68</v>
      </c>
      <c r="AE52" t="s">
        <v>5</v>
      </c>
      <c r="AF52">
        <v>103.24428</v>
      </c>
      <c r="AG52">
        <v>92.277414000000007</v>
      </c>
      <c r="AH52">
        <v>56.357414000000006</v>
      </c>
    </row>
    <row r="53" spans="29:34">
      <c r="AC53" t="s">
        <v>48</v>
      </c>
      <c r="AD53" t="s">
        <v>68</v>
      </c>
      <c r="AE53" t="s">
        <v>6</v>
      </c>
      <c r="AF53">
        <v>879.81008500000007</v>
      </c>
      <c r="AG53">
        <v>980.41668699999991</v>
      </c>
      <c r="AH53">
        <v>1041.3230189999999</v>
      </c>
    </row>
    <row r="54" spans="29:34">
      <c r="AC54" t="s">
        <v>48</v>
      </c>
      <c r="AD54" t="s">
        <v>68</v>
      </c>
      <c r="AE54" t="s">
        <v>8</v>
      </c>
      <c r="AH54">
        <v>0.77600000000000002</v>
      </c>
    </row>
    <row r="55" spans="29:34">
      <c r="AC55" t="s">
        <v>105</v>
      </c>
      <c r="AF55">
        <v>2026.8791740000001</v>
      </c>
      <c r="AG55">
        <v>2305.7461039999998</v>
      </c>
      <c r="AH55">
        <f>+SUM(AH41:AH54)</f>
        <v>2178.8756029999995</v>
      </c>
    </row>
    <row r="56" spans="29:34">
      <c r="AC56" t="s">
        <v>49</v>
      </c>
      <c r="AD56" t="s">
        <v>85</v>
      </c>
      <c r="AE56" t="s">
        <v>52</v>
      </c>
      <c r="AF56">
        <v>100</v>
      </c>
      <c r="AG56">
        <v>156</v>
      </c>
    </row>
    <row r="57" spans="29:34">
      <c r="AC57" t="s">
        <v>49</v>
      </c>
      <c r="AD57" t="s">
        <v>86</v>
      </c>
      <c r="AE57" t="s">
        <v>52</v>
      </c>
      <c r="AF57">
        <v>1299.9939980000001</v>
      </c>
      <c r="AG57">
        <v>1436.946064</v>
      </c>
    </row>
    <row r="58" spans="29:34">
      <c r="AC58" t="s">
        <v>49</v>
      </c>
      <c r="AD58" t="s">
        <v>87</v>
      </c>
      <c r="AE58" t="s">
        <v>52</v>
      </c>
      <c r="AF58">
        <v>181</v>
      </c>
      <c r="AG58">
        <v>263.33999999999997</v>
      </c>
    </row>
    <row r="59" spans="29:34">
      <c r="AC59" t="s">
        <v>49</v>
      </c>
      <c r="AD59" t="s">
        <v>75</v>
      </c>
      <c r="AE59" t="s">
        <v>3</v>
      </c>
      <c r="AF59">
        <v>65.169489999999996</v>
      </c>
      <c r="AG59">
        <v>76.889799999999994</v>
      </c>
    </row>
    <row r="60" spans="29:34">
      <c r="AC60" t="s">
        <v>49</v>
      </c>
      <c r="AD60" t="s">
        <v>75</v>
      </c>
      <c r="AE60" t="s">
        <v>5</v>
      </c>
      <c r="AF60">
        <v>8.7800000000000003E-2</v>
      </c>
      <c r="AG60">
        <v>2.89371</v>
      </c>
    </row>
    <row r="61" spans="29:34">
      <c r="AC61" t="s">
        <v>49</v>
      </c>
      <c r="AD61" t="s">
        <v>75</v>
      </c>
      <c r="AE61" t="s">
        <v>52</v>
      </c>
      <c r="AF61">
        <v>678.70026000000007</v>
      </c>
      <c r="AG61">
        <v>750.94100000000003</v>
      </c>
    </row>
    <row r="62" spans="29:34">
      <c r="AC62" t="s">
        <v>49</v>
      </c>
      <c r="AD62" t="s">
        <v>69</v>
      </c>
      <c r="AE62" t="s">
        <v>5</v>
      </c>
      <c r="AF62">
        <v>58.506</v>
      </c>
      <c r="AG62">
        <v>66.28</v>
      </c>
    </row>
    <row r="63" spans="29:34">
      <c r="AC63" t="s">
        <v>49</v>
      </c>
      <c r="AD63" t="s">
        <v>69</v>
      </c>
      <c r="AE63" t="s">
        <v>52</v>
      </c>
      <c r="AF63">
        <v>74.959000000000003</v>
      </c>
      <c r="AG63">
        <v>84.995999999999995</v>
      </c>
    </row>
    <row r="64" spans="29:34">
      <c r="AC64" t="s">
        <v>49</v>
      </c>
      <c r="AD64" t="s">
        <v>80</v>
      </c>
      <c r="AE64" t="s">
        <v>3</v>
      </c>
      <c r="AF64">
        <v>16.307241000000001</v>
      </c>
      <c r="AG64">
        <v>109.27256</v>
      </c>
    </row>
    <row r="65" spans="29:33">
      <c r="AC65" t="s">
        <v>49</v>
      </c>
      <c r="AD65" t="s">
        <v>80</v>
      </c>
      <c r="AE65" t="s">
        <v>5</v>
      </c>
      <c r="AF65">
        <v>232.43891999999997</v>
      </c>
      <c r="AG65">
        <v>55.775110000000005</v>
      </c>
    </row>
    <row r="66" spans="29:33">
      <c r="AC66" t="s">
        <v>49</v>
      </c>
      <c r="AD66" t="s">
        <v>80</v>
      </c>
      <c r="AE66" t="s">
        <v>52</v>
      </c>
      <c r="AF66">
        <v>2432.8643999999999</v>
      </c>
      <c r="AG66">
        <v>2456.9340999999999</v>
      </c>
    </row>
    <row r="67" spans="29:33">
      <c r="AC67" t="s">
        <v>49</v>
      </c>
      <c r="AD67" t="s">
        <v>80</v>
      </c>
      <c r="AE67" t="s">
        <v>8</v>
      </c>
      <c r="AG67">
        <v>0.29559999999999997</v>
      </c>
    </row>
    <row r="68" spans="29:33">
      <c r="AC68" t="s">
        <v>49</v>
      </c>
      <c r="AD68" t="s">
        <v>80</v>
      </c>
      <c r="AE68" t="s">
        <v>54</v>
      </c>
      <c r="AG68">
        <v>37.701999999999998</v>
      </c>
    </row>
    <row r="69" spans="29:33">
      <c r="AC69" t="s">
        <v>49</v>
      </c>
      <c r="AD69" t="s">
        <v>80</v>
      </c>
      <c r="AE69" t="s">
        <v>55</v>
      </c>
      <c r="AF69">
        <v>24.566717000000001</v>
      </c>
    </row>
    <row r="70" spans="29:33">
      <c r="AC70" t="s">
        <v>49</v>
      </c>
      <c r="AD70" t="s">
        <v>74</v>
      </c>
      <c r="AE70" t="s">
        <v>50</v>
      </c>
      <c r="AF70">
        <v>56.482320000000001</v>
      </c>
      <c r="AG70">
        <v>72.289199999999994</v>
      </c>
    </row>
    <row r="71" spans="29:33">
      <c r="AC71" t="s">
        <v>49</v>
      </c>
      <c r="AD71" t="s">
        <v>74</v>
      </c>
      <c r="AE71" t="s">
        <v>4</v>
      </c>
      <c r="AF71">
        <v>0.23100000000000001</v>
      </c>
      <c r="AG71">
        <v>0.38500000000000001</v>
      </c>
    </row>
    <row r="72" spans="29:33">
      <c r="AC72" t="s">
        <v>49</v>
      </c>
      <c r="AD72" t="s">
        <v>74</v>
      </c>
      <c r="AE72" t="s">
        <v>5</v>
      </c>
      <c r="AF72">
        <v>368.15499999999997</v>
      </c>
      <c r="AG72">
        <v>426.34825999999998</v>
      </c>
    </row>
    <row r="73" spans="29:33">
      <c r="AC73" t="s">
        <v>49</v>
      </c>
      <c r="AD73" t="s">
        <v>74</v>
      </c>
      <c r="AE73" t="s">
        <v>52</v>
      </c>
      <c r="AF73">
        <v>3929.5079999999998</v>
      </c>
      <c r="AG73">
        <v>4374.1969829999998</v>
      </c>
    </row>
    <row r="74" spans="29:33">
      <c r="AC74" t="s">
        <v>49</v>
      </c>
      <c r="AD74" t="s">
        <v>74</v>
      </c>
      <c r="AE74" t="s">
        <v>6</v>
      </c>
      <c r="AG74">
        <v>40.008400000000002</v>
      </c>
    </row>
    <row r="75" spans="29:33">
      <c r="AC75" t="s">
        <v>49</v>
      </c>
      <c r="AD75" t="s">
        <v>74</v>
      </c>
      <c r="AE75" t="s">
        <v>54</v>
      </c>
      <c r="AG75">
        <v>2.4704999999999999</v>
      </c>
    </row>
    <row r="76" spans="29:33">
      <c r="AC76" t="s">
        <v>49</v>
      </c>
      <c r="AD76" t="s">
        <v>74</v>
      </c>
      <c r="AE76" t="s">
        <v>9</v>
      </c>
      <c r="AF76">
        <v>0.39</v>
      </c>
      <c r="AG76">
        <v>0.75046000000000002</v>
      </c>
    </row>
    <row r="77" spans="29:33">
      <c r="AC77" t="s">
        <v>49</v>
      </c>
      <c r="AD77" t="s">
        <v>74</v>
      </c>
      <c r="AE77" t="s">
        <v>55</v>
      </c>
      <c r="AF77">
        <v>4.8520000000000003</v>
      </c>
      <c r="AG77">
        <v>2.65482</v>
      </c>
    </row>
    <row r="78" spans="29:33">
      <c r="AC78" t="s">
        <v>49</v>
      </c>
      <c r="AD78" t="s">
        <v>71</v>
      </c>
      <c r="AE78" t="s">
        <v>3</v>
      </c>
      <c r="AF78">
        <v>69.045338000000001</v>
      </c>
      <c r="AG78">
        <v>77.597250000000003</v>
      </c>
    </row>
    <row r="79" spans="29:33">
      <c r="AC79" t="s">
        <v>49</v>
      </c>
      <c r="AD79" t="s">
        <v>71</v>
      </c>
      <c r="AE79" t="s">
        <v>5</v>
      </c>
      <c r="AF79">
        <v>198.036495</v>
      </c>
      <c r="AG79">
        <v>235.09433999999999</v>
      </c>
    </row>
    <row r="80" spans="29:33">
      <c r="AC80" t="s">
        <v>49</v>
      </c>
      <c r="AD80" t="s">
        <v>76</v>
      </c>
      <c r="AE80" t="s">
        <v>3</v>
      </c>
      <c r="AF80">
        <v>127.689679</v>
      </c>
    </row>
    <row r="81" spans="29:33">
      <c r="AC81" t="s">
        <v>49</v>
      </c>
      <c r="AD81" t="s">
        <v>76</v>
      </c>
      <c r="AE81" t="s">
        <v>5</v>
      </c>
      <c r="AF81">
        <v>527.99967000000004</v>
      </c>
      <c r="AG81">
        <v>566.05771000000004</v>
      </c>
    </row>
    <row r="82" spans="29:33">
      <c r="AC82" t="s">
        <v>49</v>
      </c>
      <c r="AD82" t="s">
        <v>76</v>
      </c>
      <c r="AE82" t="s">
        <v>52</v>
      </c>
      <c r="AF82">
        <v>2885.4266050000001</v>
      </c>
      <c r="AG82">
        <v>3347.2947770000001</v>
      </c>
    </row>
    <row r="83" spans="29:33">
      <c r="AC83" t="s">
        <v>49</v>
      </c>
      <c r="AD83" t="s">
        <v>76</v>
      </c>
      <c r="AE83" t="s">
        <v>6</v>
      </c>
      <c r="AF83">
        <v>18.342680000000001</v>
      </c>
      <c r="AG83">
        <v>20.098099999999999</v>
      </c>
    </row>
    <row r="84" spans="29:33">
      <c r="AC84" t="s">
        <v>49</v>
      </c>
      <c r="AD84" t="s">
        <v>76</v>
      </c>
      <c r="AE84" t="s">
        <v>8</v>
      </c>
      <c r="AF84">
        <v>300.06489399999998</v>
      </c>
      <c r="AG84">
        <v>352.51809800000001</v>
      </c>
    </row>
    <row r="85" spans="29:33">
      <c r="AC85" t="s">
        <v>49</v>
      </c>
      <c r="AD85" t="s">
        <v>77</v>
      </c>
      <c r="AE85" t="s">
        <v>5</v>
      </c>
      <c r="AF85">
        <v>127.10266</v>
      </c>
      <c r="AG85">
        <v>79.7</v>
      </c>
    </row>
    <row r="86" spans="29:33">
      <c r="AC86" t="s">
        <v>49</v>
      </c>
      <c r="AD86" t="s">
        <v>77</v>
      </c>
      <c r="AE86" t="s">
        <v>52</v>
      </c>
      <c r="AF86">
        <v>177.72129799999999</v>
      </c>
      <c r="AG86">
        <v>255.909592</v>
      </c>
    </row>
    <row r="87" spans="29:33">
      <c r="AC87" t="s">
        <v>49</v>
      </c>
      <c r="AD87" t="s">
        <v>77</v>
      </c>
      <c r="AE87" t="s">
        <v>6</v>
      </c>
      <c r="AF87">
        <v>3.33792</v>
      </c>
      <c r="AG87">
        <v>2.6669999999999998</v>
      </c>
    </row>
    <row r="88" spans="29:33">
      <c r="AC88" t="s">
        <v>49</v>
      </c>
      <c r="AD88" t="s">
        <v>88</v>
      </c>
      <c r="AE88" t="s">
        <v>52</v>
      </c>
      <c r="AF88">
        <v>0.215</v>
      </c>
    </row>
    <row r="89" spans="29:33">
      <c r="AC89" t="s">
        <v>49</v>
      </c>
      <c r="AD89" t="s">
        <v>88</v>
      </c>
      <c r="AE89" t="s">
        <v>8</v>
      </c>
      <c r="AF89">
        <v>1.7093000000000001E-2</v>
      </c>
    </row>
    <row r="90" spans="29:33">
      <c r="AC90" t="s">
        <v>49</v>
      </c>
      <c r="AD90" t="s">
        <v>88</v>
      </c>
      <c r="AE90" t="s">
        <v>9</v>
      </c>
      <c r="AG90">
        <v>0.19</v>
      </c>
    </row>
    <row r="91" spans="29:33">
      <c r="AC91" t="s">
        <v>49</v>
      </c>
      <c r="AD91" t="s">
        <v>89</v>
      </c>
      <c r="AE91" t="s">
        <v>52</v>
      </c>
      <c r="AF91">
        <v>1791.600694</v>
      </c>
      <c r="AG91">
        <v>2051.6529999999998</v>
      </c>
    </row>
    <row r="92" spans="29:33">
      <c r="AC92" t="s">
        <v>49</v>
      </c>
      <c r="AD92" t="s">
        <v>90</v>
      </c>
      <c r="AE92" t="s">
        <v>3</v>
      </c>
      <c r="AF92">
        <v>265</v>
      </c>
    </row>
    <row r="93" spans="29:33">
      <c r="AC93" t="s">
        <v>49</v>
      </c>
      <c r="AD93" t="s">
        <v>90</v>
      </c>
      <c r="AE93" t="s">
        <v>52</v>
      </c>
      <c r="AF93">
        <v>142</v>
      </c>
      <c r="AG93">
        <v>130</v>
      </c>
    </row>
    <row r="94" spans="29:33">
      <c r="AC94" t="s">
        <v>49</v>
      </c>
      <c r="AD94" t="s">
        <v>91</v>
      </c>
      <c r="AE94" t="s">
        <v>52</v>
      </c>
      <c r="AF94">
        <v>66</v>
      </c>
      <c r="AG94">
        <v>71.972999999999999</v>
      </c>
    </row>
    <row r="95" spans="29:33">
      <c r="AC95" t="s">
        <v>49</v>
      </c>
      <c r="AD95" t="s">
        <v>92</v>
      </c>
      <c r="AE95" t="s">
        <v>5</v>
      </c>
      <c r="AF95">
        <v>0.8</v>
      </c>
      <c r="AG95">
        <v>2.1</v>
      </c>
    </row>
    <row r="96" spans="29:33">
      <c r="AC96" t="s">
        <v>49</v>
      </c>
      <c r="AD96" t="s">
        <v>92</v>
      </c>
      <c r="AE96" t="s">
        <v>52</v>
      </c>
      <c r="AF96">
        <v>2101.2930000000001</v>
      </c>
      <c r="AG96">
        <v>2377.529387</v>
      </c>
    </row>
    <row r="97" spans="29:33">
      <c r="AC97" t="s">
        <v>49</v>
      </c>
      <c r="AD97" t="s">
        <v>93</v>
      </c>
      <c r="AE97" t="s">
        <v>51</v>
      </c>
      <c r="AG97">
        <v>0.06</v>
      </c>
    </row>
    <row r="98" spans="29:33">
      <c r="AC98" t="s">
        <v>49</v>
      </c>
      <c r="AD98" t="s">
        <v>93</v>
      </c>
      <c r="AE98" t="s">
        <v>3</v>
      </c>
      <c r="AF98">
        <v>2.363</v>
      </c>
      <c r="AG98">
        <v>1.8939999999999999</v>
      </c>
    </row>
    <row r="99" spans="29:33">
      <c r="AC99" t="s">
        <v>49</v>
      </c>
      <c r="AD99" t="s">
        <v>93</v>
      </c>
      <c r="AE99" t="s">
        <v>5</v>
      </c>
      <c r="AF99">
        <v>4.6449999999999996</v>
      </c>
      <c r="AG99">
        <v>1.3520000000000001</v>
      </c>
    </row>
    <row r="100" spans="29:33">
      <c r="AC100" t="s">
        <v>49</v>
      </c>
      <c r="AD100" t="s">
        <v>93</v>
      </c>
      <c r="AE100" t="s">
        <v>52</v>
      </c>
      <c r="AF100">
        <v>1272.704</v>
      </c>
      <c r="AG100">
        <v>1760.982</v>
      </c>
    </row>
    <row r="101" spans="29:33">
      <c r="AC101" t="s">
        <v>49</v>
      </c>
      <c r="AD101" t="s">
        <v>93</v>
      </c>
      <c r="AE101" t="s">
        <v>55</v>
      </c>
      <c r="AF101">
        <v>4.016</v>
      </c>
      <c r="AG101">
        <v>6.492</v>
      </c>
    </row>
    <row r="102" spans="29:33">
      <c r="AC102" t="s">
        <v>106</v>
      </c>
      <c r="AF102">
        <v>19609.633172000002</v>
      </c>
      <c r="AG102">
        <v>21758.531820999997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Kimoto</dc:creator>
  <cp:lastModifiedBy>Ai Kimoto</cp:lastModifiedBy>
  <dcterms:created xsi:type="dcterms:W3CDTF">2021-04-12T08:07:31Z</dcterms:created>
  <dcterms:modified xsi:type="dcterms:W3CDTF">2021-04-13T09:09:34Z</dcterms:modified>
</cp:coreProperties>
</file>