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SWO\Resources\"/>
    </mc:Choice>
  </mc:AlternateContent>
  <bookViews>
    <workbookView xWindow="28680" yWindow="-120" windowWidth="29040" windowHeight="15840" activeTab="3"/>
  </bookViews>
  <sheets>
    <sheet name="Sheet1" sheetId="1" r:id="rId1"/>
    <sheet name="Derivation" sheetId="2" r:id="rId2"/>
    <sheet name="growth" sheetId="4" r:id="rId3"/>
    <sheet name="variability in LH" sheetId="3" r:id="rId4"/>
    <sheet name="Publication Table of Variance" sheetId="5" r:id="rId5"/>
  </sheets>
  <definedNames>
    <definedName name="Alpha_s">Derivation!$C$47</definedName>
    <definedName name="Alpha_s_Tay">Derivation!$C$48</definedName>
    <definedName name="Bfa">Derivation!$C$16</definedName>
    <definedName name="BFb">Derivation!$C$17</definedName>
    <definedName name="BFConstant">Derivation!$C$15</definedName>
    <definedName name="E0">Derivation!$C$30</definedName>
    <definedName name="E0_tay">Derivation!$C$36</definedName>
    <definedName name="h_t">Derivation!$C$50</definedName>
    <definedName name="hr">Derivation!$C$4</definedName>
    <definedName name="hs">Derivation!$C$49</definedName>
    <definedName name="length_a">Derivation!$C$8</definedName>
    <definedName name="length_b">Derivation!$C$9</definedName>
    <definedName name="LS">Derivation!$C$24</definedName>
    <definedName name="mat_a">Derivation!$C$6</definedName>
    <definedName name="mat_slope">Derivation!$C$7</definedName>
    <definedName name="mort">Derivation!$C$13</definedName>
    <definedName name="N0">Derivation!$C$31</definedName>
    <definedName name="N0_tay">Derivation!$C$37</definedName>
    <definedName name="NS">Derivation!$C$22</definedName>
    <definedName name="ParChange">Derivation!$C$18</definedName>
    <definedName name="R0">Derivation!$C$3</definedName>
    <definedName name="RealizedFecFactor">Derivation!$C$19</definedName>
    <definedName name="Se">Derivation!$C$23</definedName>
    <definedName name="SPR0">Derivation!$C$32</definedName>
    <definedName name="SPR0_tay">Derivation!$C$38</definedName>
    <definedName name="vLinf">Derivation!$C$10</definedName>
    <definedName name="vonK">Derivation!$C$11</definedName>
    <definedName name="vtto">Derivation!$C$12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27" i="3"/>
  <c r="F2" i="3" l="1"/>
  <c r="F6" i="3"/>
  <c r="F7" i="3"/>
  <c r="F8" i="3"/>
  <c r="F9" i="3"/>
  <c r="F14" i="3"/>
  <c r="F15" i="3"/>
  <c r="F16" i="3"/>
  <c r="F17" i="3"/>
  <c r="F18" i="3"/>
  <c r="F19" i="3"/>
  <c r="F13" i="3"/>
  <c r="E14" i="3"/>
  <c r="E15" i="3"/>
  <c r="E16" i="3"/>
  <c r="E17" i="3"/>
  <c r="E18" i="3"/>
  <c r="E19" i="3"/>
  <c r="E13" i="3"/>
  <c r="D7" i="3"/>
  <c r="C40" i="2"/>
  <c r="R5" i="2"/>
  <c r="J5" i="2"/>
  <c r="D16" i="5"/>
  <c r="D15" i="5"/>
  <c r="D14" i="5"/>
  <c r="D13" i="5"/>
  <c r="D12" i="5"/>
  <c r="D11" i="5"/>
  <c r="D10" i="5"/>
  <c r="D9" i="5"/>
  <c r="C9" i="5"/>
  <c r="D8" i="5"/>
  <c r="C8" i="5"/>
  <c r="D7" i="5"/>
  <c r="C7" i="5"/>
  <c r="D6" i="5"/>
  <c r="D5" i="5"/>
  <c r="D3" i="5"/>
  <c r="D2" i="5"/>
  <c r="C2" i="5"/>
  <c r="C16" i="3"/>
  <c r="D16" i="3" s="1"/>
  <c r="C17" i="3"/>
  <c r="D17" i="3" s="1"/>
  <c r="C18" i="3"/>
  <c r="D18" i="3" s="1"/>
  <c r="C19" i="3"/>
  <c r="D19" i="3" s="1"/>
  <c r="C14" i="3"/>
  <c r="D14" i="3" s="1"/>
  <c r="C15" i="3"/>
  <c r="D15" i="3" s="1"/>
  <c r="C13" i="3"/>
  <c r="D13" i="3" s="1"/>
  <c r="C9" i="3"/>
  <c r="D9" i="3" s="1"/>
  <c r="C8" i="3"/>
  <c r="D8" i="3" s="1"/>
  <c r="C6" i="3"/>
  <c r="D6" i="3" s="1"/>
  <c r="C2" i="3"/>
  <c r="D2" i="3" s="1"/>
  <c r="B2" i="3"/>
  <c r="B11" i="3"/>
  <c r="F11" i="3" s="1"/>
  <c r="C11" i="3"/>
  <c r="B12" i="3"/>
  <c r="C12" i="3"/>
  <c r="C10" i="3"/>
  <c r="B10" i="3"/>
  <c r="F10" i="3" s="1"/>
  <c r="C10" i="4"/>
  <c r="C11" i="4"/>
  <c r="C9" i="4"/>
  <c r="B11" i="4"/>
  <c r="B10" i="4"/>
  <c r="B9" i="4"/>
  <c r="D47" i="3" l="1"/>
  <c r="D67" i="3"/>
  <c r="D49" i="3"/>
  <c r="D30" i="3"/>
  <c r="D50" i="3"/>
  <c r="D31" i="3"/>
  <c r="D32" i="3"/>
  <c r="D33" i="3"/>
  <c r="D34" i="3"/>
  <c r="D55" i="3"/>
  <c r="D36" i="3"/>
  <c r="D57" i="3"/>
  <c r="D58" i="3"/>
  <c r="D59" i="3"/>
  <c r="D41" i="3"/>
  <c r="B29" i="3" s="1"/>
  <c r="B4" i="3" s="1"/>
  <c r="D42" i="3"/>
  <c r="D44" i="3"/>
  <c r="D45" i="3"/>
  <c r="D66" i="3"/>
  <c r="D28" i="3"/>
  <c r="D48" i="3"/>
  <c r="D27" i="3"/>
  <c r="D51" i="3"/>
  <c r="D52" i="3"/>
  <c r="D53" i="3"/>
  <c r="D54" i="3"/>
  <c r="D35" i="3"/>
  <c r="D37" i="3"/>
  <c r="B28" i="3" s="1"/>
  <c r="B3" i="3" s="1"/>
  <c r="D38" i="3"/>
  <c r="D39" i="3"/>
  <c r="D40" i="3"/>
  <c r="D62" i="3"/>
  <c r="D29" i="3"/>
  <c r="D56" i="3"/>
  <c r="D60" i="3"/>
  <c r="D61" i="3"/>
  <c r="D43" i="3"/>
  <c r="D64" i="3"/>
  <c r="D65" i="3"/>
  <c r="D46" i="3"/>
  <c r="D63" i="3"/>
  <c r="D10" i="3"/>
  <c r="I5" i="2"/>
  <c r="S5" i="2" s="1"/>
  <c r="I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O5" i="2"/>
  <c r="O6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15" i="2"/>
  <c r="L15" i="2" s="1"/>
  <c r="J16" i="2"/>
  <c r="L16" i="2" s="1"/>
  <c r="J17" i="2"/>
  <c r="L17" i="2" s="1"/>
  <c r="I15" i="2"/>
  <c r="I16" i="2"/>
  <c r="I17" i="2"/>
  <c r="I18" i="2"/>
  <c r="I19" i="2"/>
  <c r="I20" i="2"/>
  <c r="I21" i="2"/>
  <c r="I22" i="2"/>
  <c r="I23" i="2"/>
  <c r="I24" i="2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L5" i="2"/>
  <c r="I7" i="2"/>
  <c r="I8" i="2"/>
  <c r="I9" i="2"/>
  <c r="I10" i="2"/>
  <c r="I11" i="2"/>
  <c r="I12" i="2"/>
  <c r="I13" i="2"/>
  <c r="I14" i="2"/>
  <c r="N5" i="2"/>
  <c r="P5" i="2" s="1"/>
  <c r="C41" i="2" l="1"/>
  <c r="S10" i="2"/>
  <c r="Q5" i="2"/>
  <c r="O7" i="2"/>
  <c r="O8" i="2" s="1"/>
  <c r="O9" i="2" s="1"/>
  <c r="O10" i="2" s="1"/>
  <c r="O11" i="2" s="1"/>
  <c r="O12" i="2" s="1"/>
  <c r="O13" i="2" s="1"/>
  <c r="O14" i="2" s="1"/>
  <c r="Q14" i="2" s="1"/>
  <c r="S15" i="2"/>
  <c r="S24" i="2"/>
  <c r="S12" i="2"/>
  <c r="S21" i="2"/>
  <c r="S9" i="2"/>
  <c r="S17" i="2"/>
  <c r="S16" i="2"/>
  <c r="S23" i="2"/>
  <c r="S11" i="2"/>
  <c r="S22" i="2"/>
  <c r="S20" i="2"/>
  <c r="S8" i="2"/>
  <c r="S19" i="2"/>
  <c r="S7" i="2"/>
  <c r="S18" i="2"/>
  <c r="S6" i="2"/>
  <c r="C42" i="2" s="1"/>
  <c r="C45" i="2" s="1"/>
  <c r="S14" i="2"/>
  <c r="S13" i="2"/>
  <c r="N6" i="2"/>
  <c r="N7" i="2" s="1"/>
  <c r="C43" i="2" l="1"/>
  <c r="C46" i="2" s="1"/>
  <c r="C48" i="2" s="1"/>
  <c r="Q6" i="2"/>
  <c r="Q7" i="2"/>
  <c r="O15" i="2"/>
  <c r="Q15" i="2" s="1"/>
  <c r="Q8" i="2"/>
  <c r="Q11" i="2"/>
  <c r="Q9" i="2"/>
  <c r="Q10" i="2"/>
  <c r="Q12" i="2"/>
  <c r="Q13" i="2"/>
  <c r="P6" i="2"/>
  <c r="C47" i="2" l="1"/>
  <c r="O16" i="2"/>
  <c r="N8" i="2"/>
  <c r="P7" i="2"/>
  <c r="O17" i="2" l="1"/>
  <c r="Q16" i="2"/>
  <c r="N9" i="2"/>
  <c r="N10" i="2" s="1"/>
  <c r="P8" i="2"/>
  <c r="Q17" i="2" l="1"/>
  <c r="O18" i="2"/>
  <c r="O19" i="2" s="1"/>
  <c r="P9" i="2"/>
  <c r="Q18" i="2" l="1"/>
  <c r="O20" i="2"/>
  <c r="Q19" i="2"/>
  <c r="N11" i="2"/>
  <c r="P10" i="2"/>
  <c r="O21" i="2" l="1"/>
  <c r="Q20" i="2"/>
  <c r="N12" i="2"/>
  <c r="P11" i="2"/>
  <c r="O22" i="2" l="1"/>
  <c r="Q21" i="2"/>
  <c r="N13" i="2"/>
  <c r="N14" i="2" s="1"/>
  <c r="P12" i="2"/>
  <c r="Q22" i="2" l="1"/>
  <c r="P13" i="2"/>
  <c r="P14" i="2" l="1"/>
  <c r="C31" i="2"/>
  <c r="C30" i="2" l="1"/>
  <c r="C32" i="2" s="1"/>
  <c r="C49" i="2" s="1"/>
  <c r="O23" i="2"/>
  <c r="O24" i="2" l="1"/>
  <c r="C37" i="2" s="1"/>
  <c r="Q23" i="2"/>
  <c r="Q24" i="2" l="1"/>
  <c r="C36" i="2" s="1"/>
  <c r="C38" i="2" l="1"/>
  <c r="C50" i="2" s="1"/>
</calcChain>
</file>

<file path=xl/comments1.xml><?xml version="1.0" encoding="utf-8"?>
<comments xmlns="http://schemas.openxmlformats.org/spreadsheetml/2006/main">
  <authors>
    <author>tc={4CCA97CB-C24E-4527-9681-0705C09FCFD4}</author>
    <author>Freddy Arocha</author>
  </authors>
  <commentList>
    <comment ref="C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Arocha, F. 2007, Swordfish reproduction in the Atlantic Ocean: An overview. Gulf and Carribean Research, 19: 21-36.</t>
        </r>
      </text>
    </comment>
    <comment ref="A54" authorId="1" shapeId="0">
      <text>
        <r>
          <rPr>
            <b/>
            <sz val="9"/>
            <color indexed="81"/>
            <rFont val="Tahoma"/>
            <family val="2"/>
          </rPr>
          <t>Freddy Arocha:</t>
        </r>
        <r>
          <rPr>
            <sz val="9"/>
            <color indexed="81"/>
            <rFont val="Tahoma"/>
            <family val="2"/>
          </rPr>
          <t xml:space="preserve">
1. Se estimo el RWT a partir de la ecuacion ICCAT para RWT sexos combinados del NW ATL. Transformando todos los DWT combinados y por sexo separado para obtener RWT combinado, RWT hembras y RWT machos.
2. Luego se estiman las relaciones L-W con los nuevos estimados de RWTe vs LJFL, para obtener los valores de a y b de la relacion L-W nueva (comb, hembras y machos).</t>
        </r>
      </text>
    </comment>
  </commentList>
</comments>
</file>

<file path=xl/comments2.xml><?xml version="1.0" encoding="utf-8"?>
<comments xmlns="http://schemas.openxmlformats.org/spreadsheetml/2006/main">
  <authors>
    <author>tc={4C00A137-639F-426A-B840-15673E20179F}</author>
    <author>tc={4C9C6737-9D92-4926-91BC-4B80215E1269}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maximum ages of 15 and 20 years, Hoenig's method provides M estimates of 0.28 and
0.21 respectively. T</t>
        </r>
      </text>
    </comment>
    <comment ref="C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get.norm.par(p=c(0.25,0.5,0.75,0.99),q=c(4.1,5.03,5.9,8.7))</t>
        </r>
      </text>
    </comment>
  </commentList>
</comments>
</file>

<file path=xl/comments3.xml><?xml version="1.0" encoding="utf-8"?>
<comments xmlns="http://schemas.openxmlformats.org/spreadsheetml/2006/main">
  <authors>
    <author>tc={4711DA7D-926A-465C-81C7-C132F5CC1964}</author>
    <author>tc={251BE90E-5E55-4DB2-8A22-8BAD09289C09}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maximum ages of 15 and 20 years, Hoenig's method provides M estimates of 0.28 and
0.21 respectively. T</t>
        </r>
      </text>
    </comment>
    <comment ref="D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get.norm.par(p=c(0.25,0.5,0.75,0.99),q=c(4.1,5.03,5.9,8.7))</t>
        </r>
      </text>
    </comment>
  </commentList>
</comments>
</file>

<file path=xl/sharedStrings.xml><?xml version="1.0" encoding="utf-8"?>
<sst xmlns="http://schemas.openxmlformats.org/spreadsheetml/2006/main" count="281" uniqueCount="199">
  <si>
    <t>h</t>
  </si>
  <si>
    <t>SPR</t>
  </si>
  <si>
    <t>W</t>
  </si>
  <si>
    <t>alpha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</si>
  <si>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</si>
  <si>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</si>
  <si>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</si>
  <si>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</si>
  <si>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</si>
  <si>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</si>
  <si>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</si>
  <si>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</si>
  <si>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</si>
  <si>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</si>
  <si>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</si>
  <si>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</si>
  <si>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</si>
  <si>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</si>
  <si>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</si>
  <si>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</si>
  <si>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</si>
  <si>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</si>
  <si>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</si>
  <si>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</si>
  <si>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Wa</t>
  </si>
  <si>
    <t>Wb</t>
  </si>
  <si>
    <t>vk</t>
  </si>
  <si>
    <t>vLinf</t>
  </si>
  <si>
    <t>vto</t>
  </si>
  <si>
    <t>From NSWOSIMSNathan</t>
  </si>
  <si>
    <t>survival</t>
  </si>
  <si>
    <t>fecundity</t>
  </si>
  <si>
    <t>weight (kg)</t>
  </si>
  <si>
    <t>Age</t>
  </si>
  <si>
    <t>s(a)</t>
  </si>
  <si>
    <t>v(a)</t>
  </si>
  <si>
    <t>f(a)</t>
  </si>
  <si>
    <t>w(a)</t>
  </si>
  <si>
    <t>N(a)</t>
  </si>
  <si>
    <t>R0</t>
  </si>
  <si>
    <t>hr</t>
  </si>
  <si>
    <t>Ea</t>
  </si>
  <si>
    <t>E0</t>
  </si>
  <si>
    <t>N0</t>
  </si>
  <si>
    <t>SPR0</t>
  </si>
  <si>
    <t>Testing dataset</t>
  </si>
  <si>
    <t>Sa&gt;1</t>
  </si>
  <si>
    <t>mat_a</t>
  </si>
  <si>
    <t>length_a</t>
  </si>
  <si>
    <t>length_b</t>
  </si>
  <si>
    <t>f(a)_est</t>
  </si>
  <si>
    <t>New RWT combined</t>
  </si>
  <si>
    <t>RWT = 0.000007162 x LJFL ^3.1046</t>
  </si>
  <si>
    <t>Fraction 0,25</t>
  </si>
  <si>
    <t>Fraction 0,75</t>
  </si>
  <si>
    <t>Fraction 0,99</t>
  </si>
  <si>
    <t>w(a)_ext</t>
  </si>
  <si>
    <t>Mat</t>
  </si>
  <si>
    <t>vonK</t>
  </si>
  <si>
    <t>vtto</t>
  </si>
  <si>
    <t>nc</t>
  </si>
  <si>
    <t>L(a)</t>
  </si>
  <si>
    <t>Sharma at Arocha YPR</t>
  </si>
  <si>
    <t>N(a)_est</t>
  </si>
  <si>
    <t>Taylor et al. 2022</t>
  </si>
  <si>
    <t>E0_tay</t>
  </si>
  <si>
    <t>N0_tay</t>
  </si>
  <si>
    <t>SPR0_tay</t>
  </si>
  <si>
    <t>Ea_est</t>
  </si>
  <si>
    <t>Batch Fecundity Parameters</t>
  </si>
  <si>
    <t>Bfa</t>
  </si>
  <si>
    <t>BFb</t>
  </si>
  <si>
    <t>BFConstant</t>
  </si>
  <si>
    <t>ParChange</t>
  </si>
  <si>
    <t>Batch Fecundity</t>
  </si>
  <si>
    <t>Bfec</t>
  </si>
  <si>
    <t>select</t>
  </si>
  <si>
    <t xml:space="preserve">input </t>
  </si>
  <si>
    <t>calculated</t>
  </si>
  <si>
    <t>Numbers</t>
  </si>
  <si>
    <t>Eggs</t>
  </si>
  <si>
    <t>RealizedFecFactor</t>
  </si>
  <si>
    <t>Realized Fec Est</t>
  </si>
  <si>
    <t>Derived quantities</t>
  </si>
  <si>
    <t>Wt ag Age 90's</t>
  </si>
  <si>
    <t>observed</t>
  </si>
  <si>
    <t>Sum(Wajk)</t>
  </si>
  <si>
    <t>Initial Recruitment</t>
  </si>
  <si>
    <t>Description</t>
  </si>
  <si>
    <t>harvest rate</t>
  </si>
  <si>
    <t>survival years greater than 1</t>
  </si>
  <si>
    <t>age at 50% maturity</t>
  </si>
  <si>
    <t>maturity close</t>
  </si>
  <si>
    <t>length weight alpha</t>
  </si>
  <si>
    <t>length weight exponent</t>
  </si>
  <si>
    <t>vonBertalanffy K</t>
  </si>
  <si>
    <t>Asymptotic size</t>
  </si>
  <si>
    <t>theoretical time at length=0</t>
  </si>
  <si>
    <t>Total egg output per recruit</t>
  </si>
  <si>
    <t>Initial number</t>
  </si>
  <si>
    <t>Sawners per recruit (Sharma et al input data)</t>
  </si>
  <si>
    <t>Total eggs unfished</t>
  </si>
  <si>
    <t>Unfished numbers</t>
  </si>
  <si>
    <t>Spawners per recruit from input parameters</t>
  </si>
  <si>
    <t>Sharma et al sum of weight</t>
  </si>
  <si>
    <t>Taylor et al sum of weight</t>
  </si>
  <si>
    <t>Sum_Wa</t>
  </si>
  <si>
    <t>Sum of realized fecundity to age 16</t>
  </si>
  <si>
    <t>Sum of realized fecundity to age 20</t>
  </si>
  <si>
    <t>NS</t>
  </si>
  <si>
    <t>Number of Spawning events (days)</t>
  </si>
  <si>
    <t>NS*(Sum(EW)/Sum(W))=</t>
  </si>
  <si>
    <t>Sum_E16</t>
  </si>
  <si>
    <t>Sum_E20</t>
  </si>
  <si>
    <t>Sharma Eq 1</t>
  </si>
  <si>
    <t xml:space="preserve">survival rate at early, </t>
  </si>
  <si>
    <t>LS</t>
  </si>
  <si>
    <t>Se</t>
  </si>
  <si>
    <t xml:space="preserve">Taylor Eq </t>
  </si>
  <si>
    <t>NSbyEggsOverW_S</t>
  </si>
  <si>
    <t>NSbyEggsOverW_T</t>
  </si>
  <si>
    <t>Alpha_s</t>
  </si>
  <si>
    <t>Alpha_s_Tay</t>
  </si>
  <si>
    <t>steepness</t>
  </si>
  <si>
    <t>hs</t>
  </si>
  <si>
    <t>h_t</t>
  </si>
  <si>
    <t>Natural mortality</t>
  </si>
  <si>
    <t>mort</t>
  </si>
  <si>
    <t>mat.slope</t>
  </si>
  <si>
    <t>mat.50</t>
  </si>
  <si>
    <t>length.weight.alpha</t>
  </si>
  <si>
    <t>length.weight.beta</t>
  </si>
  <si>
    <t>Parameter</t>
  </si>
  <si>
    <t>Standard von Bertalanffy</t>
  </si>
  <si>
    <t>Chapman’s generalized VB</t>
  </si>
  <si>
    <t>Richards’ generalized VB</t>
  </si>
  <si>
    <t>Female</t>
  </si>
  <si>
    <t>Male</t>
  </si>
  <si>
    <t>L∞</t>
  </si>
  <si>
    <t>312.27</t>
  </si>
  <si>
    <t>223.12</t>
  </si>
  <si>
    <t>375.49</t>
  </si>
  <si>
    <t>300.00</t>
  </si>
  <si>
    <t>322.29</t>
  </si>
  <si>
    <t>k</t>
  </si>
  <si>
    <t>0.0926</t>
  </si>
  <si>
    <t>0.1522</t>
  </si>
  <si>
    <t>0.00734</t>
  </si>
  <si>
    <t>0.00465</t>
  </si>
  <si>
    <t>0.0897</t>
  </si>
  <si>
    <t>0.1134</t>
  </si>
  <si>
    <r>
      <t>t</t>
    </r>
    <r>
      <rPr>
        <vertAlign val="subscript"/>
        <sz val="11"/>
        <rFont val="Times New Roman"/>
        <family val="1"/>
      </rPr>
      <t>0</t>
    </r>
  </si>
  <si>
    <t>-</t>
  </si>
  <si>
    <r>
      <t>d</t>
    </r>
    <r>
      <rPr>
        <sz val="11"/>
        <rFont val="Times New Roman"/>
        <family val="1"/>
      </rPr>
      <t>/m</t>
    </r>
  </si>
  <si>
    <t>-0.0315</t>
  </si>
  <si>
    <t>-0.3458</t>
  </si>
  <si>
    <r>
      <t>l</t>
    </r>
    <r>
      <rPr>
        <vertAlign val="subscript"/>
        <sz val="11"/>
        <rFont val="Times New Roman"/>
        <family val="1"/>
      </rPr>
      <t>0</t>
    </r>
  </si>
  <si>
    <t>0.001</t>
  </si>
  <si>
    <t>meanLinf</t>
  </si>
  <si>
    <t>meanVonK</t>
  </si>
  <si>
    <t>to</t>
  </si>
  <si>
    <t>Mean</t>
  </si>
  <si>
    <t>SD</t>
  </si>
  <si>
    <t>Assumed to be 20% of the mean</t>
  </si>
  <si>
    <t>Derived from the reported percentiles</t>
  </si>
  <si>
    <t>Estimated from mean of honig´s method estimated from max age 15 and max age 20 (see https://fs.fish.govt.nz/Doc/22488/TUN2003-01%20Swordfish%20growth%20longevity%20mortality%20Objective%203%20final.pdf.ashx</t>
  </si>
  <si>
    <t>Estimated from the mean female growth parameter estimates from Sharma and Arocha</t>
  </si>
  <si>
    <t>Parameter Name</t>
  </si>
  <si>
    <t>Name</t>
  </si>
  <si>
    <t>Natural mortality for ages a&gt;1</t>
  </si>
  <si>
    <t>Length at 50% maturity</t>
  </si>
  <si>
    <t>Slope of the maturity ogive</t>
  </si>
  <si>
    <t>Length weight coefficient</t>
  </si>
  <si>
    <t>Length weight exponent</t>
  </si>
  <si>
    <t>Asymtotic size</t>
  </si>
  <si>
    <t>vonBertalanffy growth parameter</t>
  </si>
  <si>
    <t>Batch fecundity constant</t>
  </si>
  <si>
    <t>Batch fecundity coefficient</t>
  </si>
  <si>
    <t>Batch fecundity exponent</t>
  </si>
  <si>
    <t>Realized fecundity factor</t>
  </si>
  <si>
    <t>Number of spawning days</t>
  </si>
  <si>
    <t>Estimated from the mean female growth parameter estimates from Sharma and Arocha 2917</t>
  </si>
  <si>
    <t>N_S</t>
  </si>
  <si>
    <t>Larval survival</t>
  </si>
  <si>
    <t>ls</t>
  </si>
  <si>
    <t>Estimated from mean of honig´s method estimated from max age 15 and max age 20</t>
  </si>
  <si>
    <t>phi</t>
  </si>
  <si>
    <t>CV</t>
  </si>
  <si>
    <t>min</t>
  </si>
  <si>
    <t>max</t>
  </si>
  <si>
    <t>Calculate Maturity at Length</t>
  </si>
  <si>
    <t>L50</t>
  </si>
  <si>
    <t>L95</t>
  </si>
  <si>
    <t>L50_95</t>
  </si>
  <si>
    <t>Length</t>
  </si>
  <si>
    <t>Maturity</t>
  </si>
  <si>
    <t>Crude estimate from VB and maturity-at-length</t>
  </si>
  <si>
    <t>Calculated below with an assumed CV</t>
  </si>
  <si>
    <t>L50_Linf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</si>
</sst>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9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5" fillId="0" borderId="0" xfId="1" applyFont="1" applyFill="1"/>
    <xf numFmtId="0" fontId="2" fillId="2" borderId="0" xfId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0" fillId="3" borderId="0" xfId="0" applyFill="1"/>
    <xf numFmtId="0" fontId="3" fillId="3" borderId="0" xfId="0" applyFont="1" applyFill="1"/>
    <xf numFmtId="0" fontId="3" fillId="0" borderId="0" xfId="0" applyFont="1" applyAlignment="1">
      <alignment wrapText="1"/>
    </xf>
    <xf numFmtId="0" fontId="9" fillId="0" borderId="0" xfId="0" applyFont="1"/>
    <xf numFmtId="0" fontId="0" fillId="3" borderId="0" xfId="0" applyFill="1" applyAlignment="1">
      <alignment wrapText="1"/>
    </xf>
    <xf numFmtId="0" fontId="10" fillId="0" borderId="6" xfId="0" applyFont="1" applyBorder="1" applyAlignment="1">
      <alignment horizontal="center" vertical="top" wrapText="1"/>
    </xf>
    <xf numFmtId="0" fontId="10" fillId="4" borderId="6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164" fontId="10" fillId="0" borderId="9" xfId="0" applyNumberFormat="1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4" borderId="9" xfId="0" applyFont="1" applyFill="1" applyBorder="1" applyAlignment="1">
      <alignment horizontal="center" vertical="top" wrapText="1"/>
    </xf>
    <xf numFmtId="165" fontId="10" fillId="0" borderId="9" xfId="0" applyNumberFormat="1" applyFont="1" applyBorder="1" applyAlignment="1">
      <alignment horizontal="center" vertical="top" wrapText="1"/>
    </xf>
    <xf numFmtId="3" fontId="10" fillId="0" borderId="9" xfId="0" applyNumberFormat="1" applyFont="1" applyBorder="1" applyAlignment="1">
      <alignment horizontal="center" vertical="top" wrapText="1"/>
    </xf>
    <xf numFmtId="0" fontId="12" fillId="4" borderId="8" xfId="0" applyFont="1" applyFill="1" applyBorder="1" applyAlignment="1">
      <alignment horizontal="center" vertical="top" wrapText="1"/>
    </xf>
    <xf numFmtId="3" fontId="10" fillId="4" borderId="9" xfId="0" applyNumberFormat="1" applyFont="1" applyFill="1" applyBorder="1" applyAlignment="1">
      <alignment horizontal="center" vertical="top" wrapText="1"/>
    </xf>
    <xf numFmtId="0" fontId="10" fillId="4" borderId="10" xfId="0" applyFont="1" applyFill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4" borderId="1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169" fontId="0" fillId="0" borderId="0" xfId="0" applyNumberForma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Derivation!$I$4</c:f>
              <c:strCache>
                <c:ptCount val="1"/>
                <c:pt idx="0">
                  <c:v>f(a)_est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Derivation!$I$5:$I$24</c:f>
              <c:numCache>
                <c:formatCode>General</c:formatCode>
                <c:ptCount val="20"/>
                <c:pt idx="0">
                  <c:v>6.7114912178769951E-3</c:v>
                </c:pt>
                <c:pt idx="1">
                  <c:v>2.2816288096773295E-2</c:v>
                </c:pt>
                <c:pt idx="2">
                  <c:v>7.4661158167972211E-2</c:v>
                </c:pt>
                <c:pt idx="3">
                  <c:v>0.21802722245091502</c:v>
                </c:pt>
                <c:pt idx="4">
                  <c:v>0.49070107232760718</c:v>
                </c:pt>
                <c:pt idx="5">
                  <c:v>0.76902251337978145</c:v>
                </c:pt>
                <c:pt idx="6">
                  <c:v>0.920033331855033</c:v>
                </c:pt>
                <c:pt idx="7">
                  <c:v>0.97546467424916872</c:v>
                </c:pt>
                <c:pt idx="8">
                  <c:v>0.99277387508708825</c:v>
                </c:pt>
                <c:pt idx="9">
                  <c:v>0.99789808013820669</c:v>
                </c:pt>
                <c:pt idx="10">
                  <c:v>0.99939082766984955</c:v>
                </c:pt>
                <c:pt idx="11">
                  <c:v>0.99982363879709402</c:v>
                </c:pt>
                <c:pt idx="12">
                  <c:v>0.99994895745431256</c:v>
                </c:pt>
                <c:pt idx="13">
                  <c:v>0.9999852285570503</c:v>
                </c:pt>
                <c:pt idx="14">
                  <c:v>0.99999572533266379</c:v>
                </c:pt>
                <c:pt idx="15">
                  <c:v>0.99999876297497836</c:v>
                </c:pt>
                <c:pt idx="16">
                  <c:v>0.9999996420241668</c:v>
                </c:pt>
                <c:pt idx="17">
                  <c:v>0.99999989640741715</c:v>
                </c:pt>
                <c:pt idx="18">
                  <c:v>0.9999999700219393</c:v>
                </c:pt>
                <c:pt idx="19">
                  <c:v>0.9999999913248222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E-4F18-95C3-784212CA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94319"/>
        <c:axId val="1516299311"/>
      </c:scatterChart>
      <c:valAx>
        <c:axId val="15162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99311"/>
        <c:crosses val="autoZero"/>
        <c:crossBetween val="midCat"/>
      </c:valAx>
      <c:valAx>
        <c:axId val="15162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9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14</xdr:row>
      <xdr:rowOff>106680</xdr:rowOff>
    </xdr:from>
    <xdr:to>
      <xdr:col>3</xdr:col>
      <xdr:colOff>381000</xdr:colOff>
      <xdr:row>17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9E3E01-7360-4497-BE02-9D01AFDF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2667000"/>
          <a:ext cx="11963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487680</xdr:colOff>
      <xdr:row>18</xdr:row>
      <xdr:rowOff>68580</xdr:rowOff>
    </xdr:from>
    <xdr:to>
      <xdr:col>4</xdr:col>
      <xdr:colOff>403860</xdr:colOff>
      <xdr:row>21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0DCA-7472-BB85-9B68-3D2BA624A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3360420"/>
          <a:ext cx="174498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25</xdr:row>
      <xdr:rowOff>148590</xdr:rowOff>
    </xdr:from>
    <xdr:to>
      <xdr:col>14</xdr:col>
      <xdr:colOff>434340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05BD1-869C-525F-AAB6-30F780FD3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than Taylor" id="{5211CEB0-E6D4-4BB5-811E-3AB1E58042E2}" userId="S::nathan.taylor@iccat.int::be23b806-50b4-4e99-89e8-f99a786244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6-13T11:46:06.83" personId="{5211CEB0-E6D4-4BB5-811E-3AB1E58042E2}" id="{4CCA97CB-C24E-4527-9681-0705C09FCFD4}">
    <text>Arocha, F. 2007, Swordfish reproduction in the Atlantic Ocean: An overview. Gulf and Carribean Research, 19: 21-36.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6-13T18:01:46.96" personId="{5211CEB0-E6D4-4BB5-811E-3AB1E58042E2}" id="{4C00A137-639F-426A-B840-15673E20179F}">
    <text>maximum ages of 15 and 20 years, Hoenig's method provides M estimates of 0.28 and
0.21 respectively. T</text>
  </threadedComment>
  <threadedComment ref="C4" dT="2022-06-13T18:07:47.32" personId="{5211CEB0-E6D4-4BB5-811E-3AB1E58042E2}" id="{4C9C6737-9D92-4926-91BC-4B80215E1269}">
    <text>get.norm.par(p=c(0.25,0.5,0.75,0.99),q=c(4.1,5.03,5.9,8.7))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2-06-13T18:01:46.96" personId="{5211CEB0-E6D4-4BB5-811E-3AB1E58042E2}" id="{4711DA7D-926A-465C-81C7-C132F5CC1964}">
    <text>maximum ages of 15 and 20 years, Hoenig's method provides M estimates of 0.28 and
0.21 respectively. T</text>
  </threadedComment>
  <threadedComment ref="D4" dT="2022-06-13T18:07:47.32" personId="{5211CEB0-E6D4-4BB5-811E-3AB1E58042E2}" id="{251BE90E-5E55-4DB2-8A22-8BAD09289C09}">
    <text>get.norm.par(p=c(0.25,0.5,0.75,0.99),q=c(4.1,5.03,5.9,8.7))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D24" sqref="D24"/>
    </sheetView>
  </sheetViews>
  <sheetFormatPr defaultRowHeight="14.5" x14ac:dyDescent="0.35"/>
  <sheetData>
    <row r="1" spans="1:29" x14ac:dyDescent="0.35">
      <c r="E1" t="s">
        <v>0</v>
      </c>
      <c r="F1" t="s">
        <v>3</v>
      </c>
      <c r="G1" t="s">
        <v>1</v>
      </c>
      <c r="H1" t="s">
        <v>2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35">
      <c r="A2" t="s">
        <v>24</v>
      </c>
    </row>
    <row r="3" spans="1:29" x14ac:dyDescent="0.35">
      <c r="A3" t="s">
        <v>25</v>
      </c>
    </row>
    <row r="4" spans="1:29" x14ac:dyDescent="0.35">
      <c r="A4" t="s">
        <v>26</v>
      </c>
    </row>
    <row r="5" spans="1:29" x14ac:dyDescent="0.35">
      <c r="A5" t="s">
        <v>27</v>
      </c>
    </row>
    <row r="6" spans="1:29" x14ac:dyDescent="0.35">
      <c r="A6" t="s">
        <v>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9"/>
  <sheetViews>
    <sheetView topLeftCell="B1" workbookViewId="0">
      <selection activeCell="I5" sqref="I5"/>
    </sheetView>
  </sheetViews>
  <sheetFormatPr defaultRowHeight="14.5" x14ac:dyDescent="0.35"/>
  <cols>
    <col min="1" max="1" width="37.81640625" bestFit="1" customWidth="1"/>
    <col min="2" max="2" width="16.6328125" customWidth="1"/>
    <col min="3" max="3" width="12" bestFit="1" customWidth="1"/>
    <col min="4" max="4" width="15" customWidth="1"/>
    <col min="8" max="8" width="6.1796875" bestFit="1" customWidth="1"/>
    <col min="9" max="9" width="10.1796875" bestFit="1" customWidth="1"/>
    <col min="11" max="11" width="6.1796875" bestFit="1" customWidth="1"/>
    <col min="12" max="12" width="10.1796875" bestFit="1" customWidth="1"/>
    <col min="13" max="13" width="13.36328125" bestFit="1" customWidth="1"/>
    <col min="14" max="14" width="6.1796875" bestFit="1" customWidth="1"/>
    <col min="15" max="15" width="10.1796875" bestFit="1" customWidth="1"/>
    <col min="16" max="16" width="6.1796875" bestFit="1" customWidth="1"/>
  </cols>
  <sheetData>
    <row r="1" spans="1:19" x14ac:dyDescent="0.35">
      <c r="A1" s="1" t="s">
        <v>45</v>
      </c>
      <c r="B1" t="s">
        <v>29</v>
      </c>
    </row>
    <row r="2" spans="1:19" x14ac:dyDescent="0.35">
      <c r="A2" t="s">
        <v>88</v>
      </c>
      <c r="H2" s="31" t="s">
        <v>31</v>
      </c>
      <c r="I2" s="31"/>
      <c r="J2" s="1"/>
      <c r="K2" s="31" t="s">
        <v>32</v>
      </c>
      <c r="L2" s="31"/>
      <c r="M2" s="5"/>
      <c r="N2" s="31" t="s">
        <v>79</v>
      </c>
      <c r="O2" s="31"/>
      <c r="P2" s="31" t="s">
        <v>80</v>
      </c>
      <c r="Q2" s="31"/>
    </row>
    <row r="3" spans="1:19" x14ac:dyDescent="0.35">
      <c r="A3" t="s">
        <v>87</v>
      </c>
      <c r="B3" t="s">
        <v>39</v>
      </c>
      <c r="C3">
        <v>1</v>
      </c>
      <c r="F3" t="s">
        <v>30</v>
      </c>
      <c r="G3" s="1" t="s">
        <v>76</v>
      </c>
      <c r="H3" s="4" t="s">
        <v>77</v>
      </c>
      <c r="I3" s="6" t="s">
        <v>78</v>
      </c>
      <c r="J3" s="4"/>
      <c r="K3" s="4" t="s">
        <v>77</v>
      </c>
      <c r="L3" s="6" t="s">
        <v>78</v>
      </c>
      <c r="M3" s="6" t="s">
        <v>85</v>
      </c>
      <c r="N3" s="4" t="s">
        <v>77</v>
      </c>
      <c r="O3" s="6" t="s">
        <v>78</v>
      </c>
      <c r="P3" s="4" t="s">
        <v>77</v>
      </c>
      <c r="Q3" s="1" t="s">
        <v>78</v>
      </c>
      <c r="R3" s="1" t="s">
        <v>74</v>
      </c>
    </row>
    <row r="4" spans="1:19" ht="29" x14ac:dyDescent="0.35">
      <c r="A4" t="s">
        <v>89</v>
      </c>
      <c r="B4" t="s">
        <v>40</v>
      </c>
      <c r="C4">
        <v>0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50</v>
      </c>
      <c r="J4" s="1" t="s">
        <v>61</v>
      </c>
      <c r="K4" s="1" t="s">
        <v>37</v>
      </c>
      <c r="L4" s="1" t="s">
        <v>56</v>
      </c>
      <c r="M4" s="8" t="s">
        <v>84</v>
      </c>
      <c r="N4" s="1" t="s">
        <v>38</v>
      </c>
      <c r="O4" s="1" t="s">
        <v>63</v>
      </c>
      <c r="P4" s="1" t="s">
        <v>41</v>
      </c>
      <c r="Q4" s="1" t="s">
        <v>68</v>
      </c>
      <c r="R4" s="1" t="s">
        <v>75</v>
      </c>
      <c r="S4" s="9" t="s">
        <v>82</v>
      </c>
    </row>
    <row r="5" spans="1:19" x14ac:dyDescent="0.35">
      <c r="A5" t="s">
        <v>90</v>
      </c>
      <c r="B5" t="s">
        <v>46</v>
      </c>
      <c r="C5">
        <v>0.81873075307798204</v>
      </c>
      <c r="E5" s="1">
        <v>1</v>
      </c>
      <c r="F5">
        <f t="shared" ref="F5:F24" si="0">EXP(-mort)</f>
        <v>0.86935823539880586</v>
      </c>
      <c r="G5">
        <v>0.02</v>
      </c>
      <c r="H5">
        <v>6.8199999999999997E-3</v>
      </c>
      <c r="I5">
        <f>1/(1+EXP(-mat_slope*(E5-mat_a)))</f>
        <v>6.7114912178769951E-3</v>
      </c>
      <c r="J5">
        <f>vLinf*(1-EXP(-vonK*(E5-vtto)))</f>
        <v>111.38648880048579</v>
      </c>
      <c r="K5">
        <v>16.621451381099646</v>
      </c>
      <c r="L5">
        <f t="shared" ref="L5:L24" si="1">length_a*J5^length_b</f>
        <v>16.204309880993996</v>
      </c>
      <c r="M5" s="7">
        <v>16.709647433674906</v>
      </c>
      <c r="N5">
        <f>C3</f>
        <v>1</v>
      </c>
      <c r="O5">
        <f>R0</f>
        <v>1</v>
      </c>
      <c r="P5">
        <f>N5*H5*K5</f>
        <v>0.11335829841909958</v>
      </c>
      <c r="Q5">
        <f>I5*O5*L5</f>
        <v>0.10875508345804862</v>
      </c>
      <c r="R5">
        <f>BFConstant+Bfa*E5^BFb*ParChange</f>
        <v>1847067.4069999999</v>
      </c>
      <c r="S5">
        <f>RealizedFecFactor*R5*I5</f>
        <v>32231.099370359068</v>
      </c>
    </row>
    <row r="6" spans="1:19" x14ac:dyDescent="0.35">
      <c r="A6" t="s">
        <v>91</v>
      </c>
      <c r="B6" t="s">
        <v>47</v>
      </c>
      <c r="C6">
        <v>5.03</v>
      </c>
      <c r="E6" s="1">
        <v>2</v>
      </c>
      <c r="F6">
        <f t="shared" si="0"/>
        <v>0.86935823539880586</v>
      </c>
      <c r="G6">
        <v>7.7242559190657506E-2</v>
      </c>
      <c r="H6">
        <v>2.3E-2</v>
      </c>
      <c r="I6">
        <f>1/(1+EXP(-mat_slope*(E6-mat_a)))</f>
        <v>2.2816288096773295E-2</v>
      </c>
      <c r="J6">
        <f t="shared" ref="J6:J24" si="2">vLinf*(1-EXP(-vonK*(E6-vtto)))</f>
        <v>127.62612605911816</v>
      </c>
      <c r="K6">
        <v>25.347673133097334</v>
      </c>
      <c r="L6">
        <f t="shared" si="1"/>
        <v>24.724889440444695</v>
      </c>
      <c r="M6" s="7">
        <v>26.310614664006792</v>
      </c>
      <c r="N6">
        <f t="shared" ref="N6:N13" si="3">N5*(1-G5*hr)*F5</f>
        <v>0.86935823539880586</v>
      </c>
      <c r="O6">
        <f>O5*(1-G5*hr)*F5</f>
        <v>0.86935823539880586</v>
      </c>
      <c r="P6">
        <f t="shared" ref="P6:P14" si="4">N6*H6*K6</f>
        <v>0.50683279288847005</v>
      </c>
      <c r="Q6">
        <f t="shared" ref="Q6:Q24" si="5">I6*O6*L6</f>
        <v>0.49043123575839553</v>
      </c>
      <c r="R6">
        <f t="shared" ref="R6:R24" si="6">BFConstant+Bfa*E6^BFb*ParChange</f>
        <v>1848916.0001919859</v>
      </c>
      <c r="S6">
        <f t="shared" ref="S6:S24" si="7">RealizedFecFactor*R6*I6</f>
        <v>109682.04033049666</v>
      </c>
    </row>
    <row r="7" spans="1:19" x14ac:dyDescent="0.35">
      <c r="A7" t="s">
        <v>92</v>
      </c>
      <c r="B7" t="s">
        <v>60</v>
      </c>
      <c r="C7">
        <v>1.24</v>
      </c>
      <c r="E7" s="1">
        <v>3</v>
      </c>
      <c r="F7">
        <f t="shared" si="0"/>
        <v>0.86935823539880586</v>
      </c>
      <c r="G7">
        <v>0.42771908386481045</v>
      </c>
      <c r="H7">
        <v>7.4999999999999997E-2</v>
      </c>
      <c r="I7">
        <f t="shared" ref="I7:I24" si="8">1/(1+EXP(-mat_slope*(E7-mat_a)))</f>
        <v>7.4661158167972211E-2</v>
      </c>
      <c r="J7">
        <f t="shared" si="2"/>
        <v>142.63113293081756</v>
      </c>
      <c r="K7">
        <v>35.769341935221391</v>
      </c>
      <c r="L7">
        <f t="shared" si="1"/>
        <v>34.914685254613325</v>
      </c>
      <c r="M7" s="7">
        <v>37.81177827396678</v>
      </c>
      <c r="N7">
        <f t="shared" si="3"/>
        <v>0.75578374145572558</v>
      </c>
      <c r="O7">
        <f t="shared" ref="O7:O23" si="9">O6*(1-G6*hr)*F6</f>
        <v>0.75578374145572558</v>
      </c>
      <c r="P7">
        <f t="shared" si="4"/>
        <v>2.0275415307908107</v>
      </c>
      <c r="Q7">
        <f t="shared" si="5"/>
        <v>1.9701550171970954</v>
      </c>
      <c r="R7">
        <f t="shared" si="6"/>
        <v>1859613.8403736998</v>
      </c>
      <c r="S7">
        <f t="shared" si="7"/>
        <v>360986.39997547667</v>
      </c>
    </row>
    <row r="8" spans="1:19" x14ac:dyDescent="0.35">
      <c r="A8" t="s">
        <v>93</v>
      </c>
      <c r="B8" t="s">
        <v>48</v>
      </c>
      <c r="C8">
        <v>7.1620000000000002E-6</v>
      </c>
      <c r="E8" s="1">
        <v>4</v>
      </c>
      <c r="F8">
        <f t="shared" si="0"/>
        <v>0.86935823539880586</v>
      </c>
      <c r="G8">
        <v>0.71689542413030494</v>
      </c>
      <c r="H8">
        <v>0.218</v>
      </c>
      <c r="I8">
        <f t="shared" si="8"/>
        <v>0.21802722245091502</v>
      </c>
      <c r="J8">
        <f t="shared" si="2"/>
        <v>156.4953731003487</v>
      </c>
      <c r="K8">
        <v>47.670420177426266</v>
      </c>
      <c r="L8">
        <f t="shared" si="1"/>
        <v>46.567581067983276</v>
      </c>
      <c r="M8" s="7">
        <v>50.868778906363751</v>
      </c>
      <c r="N8">
        <f t="shared" si="3"/>
        <v>0.65704681981505686</v>
      </c>
      <c r="O8">
        <f t="shared" si="9"/>
        <v>0.65704681981505686</v>
      </c>
      <c r="P8">
        <f t="shared" si="4"/>
        <v>6.8281301589479479</v>
      </c>
      <c r="Q8">
        <f t="shared" si="5"/>
        <v>6.6709965958261712</v>
      </c>
      <c r="R8">
        <f t="shared" si="6"/>
        <v>1894911.7220604073</v>
      </c>
      <c r="S8">
        <f t="shared" si="7"/>
        <v>1074170.0828313283</v>
      </c>
    </row>
    <row r="9" spans="1:19" x14ac:dyDescent="0.35">
      <c r="A9" t="s">
        <v>94</v>
      </c>
      <c r="B9" t="s">
        <v>49</v>
      </c>
      <c r="C9">
        <v>3.1046</v>
      </c>
      <c r="E9" s="1">
        <v>5</v>
      </c>
      <c r="F9">
        <f t="shared" si="0"/>
        <v>0.86935823539880586</v>
      </c>
      <c r="G9">
        <v>1</v>
      </c>
      <c r="H9">
        <v>0.49070000000000003</v>
      </c>
      <c r="I9">
        <f t="shared" si="8"/>
        <v>0.49070107232760718</v>
      </c>
      <c r="J9">
        <f t="shared" si="2"/>
        <v>169.30557419668926</v>
      </c>
      <c r="K9">
        <v>60.810015934576164</v>
      </c>
      <c r="L9">
        <f t="shared" si="1"/>
        <v>59.452086523664384</v>
      </c>
      <c r="M9" s="7">
        <v>65.170161316355987</v>
      </c>
      <c r="N9">
        <f t="shared" si="3"/>
        <v>0.57120906384881498</v>
      </c>
      <c r="O9">
        <f t="shared" si="9"/>
        <v>0.57120906384881498</v>
      </c>
      <c r="P9">
        <f t="shared" si="4"/>
        <v>17.044578477156413</v>
      </c>
      <c r="Q9">
        <f t="shared" si="5"/>
        <v>16.663997751916234</v>
      </c>
      <c r="R9">
        <f t="shared" si="6"/>
        <v>1981856.5184067469</v>
      </c>
      <c r="S9">
        <f t="shared" si="7"/>
        <v>2528497.7088322872</v>
      </c>
    </row>
    <row r="10" spans="1:19" x14ac:dyDescent="0.35">
      <c r="A10" t="s">
        <v>96</v>
      </c>
      <c r="B10" t="s">
        <v>27</v>
      </c>
      <c r="C10">
        <v>324.99359023194938</v>
      </c>
      <c r="E10" s="1">
        <v>6</v>
      </c>
      <c r="F10">
        <f t="shared" si="0"/>
        <v>0.86935823539880586</v>
      </c>
      <c r="G10">
        <v>1</v>
      </c>
      <c r="H10">
        <v>0.76829999999999998</v>
      </c>
      <c r="I10">
        <f t="shared" si="8"/>
        <v>0.76902251337978145</v>
      </c>
      <c r="J10">
        <f t="shared" si="2"/>
        <v>181.14187031692848</v>
      </c>
      <c r="K10">
        <v>74.941229811711779</v>
      </c>
      <c r="L10">
        <f t="shared" si="1"/>
        <v>73.329653167971045</v>
      </c>
      <c r="M10" s="7">
        <v>80.358172209784655</v>
      </c>
      <c r="N10">
        <f t="shared" si="3"/>
        <v>0.49658530379140964</v>
      </c>
      <c r="O10">
        <f t="shared" si="9"/>
        <v>0.49658530379140964</v>
      </c>
      <c r="P10">
        <f t="shared" si="4"/>
        <v>28.592064284130728</v>
      </c>
      <c r="Q10">
        <f t="shared" si="5"/>
        <v>28.003515017162318</v>
      </c>
      <c r="R10">
        <f t="shared" si="6"/>
        <v>2161089.7452859017</v>
      </c>
      <c r="S10">
        <f>RealizedFecFactor*R10*I10</f>
        <v>4321009.3356534932</v>
      </c>
    </row>
    <row r="11" spans="1:19" x14ac:dyDescent="0.35">
      <c r="A11" t="s">
        <v>95</v>
      </c>
      <c r="B11" t="s">
        <v>58</v>
      </c>
      <c r="C11">
        <v>7.9071061340098475E-2</v>
      </c>
      <c r="E11" s="1">
        <v>7</v>
      </c>
      <c r="F11">
        <f t="shared" si="0"/>
        <v>0.86935823539880586</v>
      </c>
      <c r="G11">
        <v>1</v>
      </c>
      <c r="H11">
        <v>0.9194</v>
      </c>
      <c r="I11">
        <f t="shared" si="8"/>
        <v>0.920033331855033</v>
      </c>
      <c r="J11">
        <f t="shared" si="2"/>
        <v>192.07830330438634</v>
      </c>
      <c r="K11">
        <v>89.824004512521697</v>
      </c>
      <c r="L11">
        <f t="shared" si="1"/>
        <v>87.967263150489813</v>
      </c>
      <c r="M11" s="7">
        <v>96.126967786226018</v>
      </c>
      <c r="N11">
        <f t="shared" si="3"/>
        <v>0.43171052342907984</v>
      </c>
      <c r="O11">
        <f t="shared" si="9"/>
        <v>0.43171052342907984</v>
      </c>
      <c r="P11">
        <f t="shared" si="4"/>
        <v>35.652463783426271</v>
      </c>
      <c r="Q11">
        <f t="shared" si="5"/>
        <v>34.939547585409301</v>
      </c>
      <c r="R11">
        <f t="shared" si="6"/>
        <v>2488937.9964341912</v>
      </c>
      <c r="S11">
        <f t="shared" si="7"/>
        <v>5953755.3858638424</v>
      </c>
    </row>
    <row r="12" spans="1:19" x14ac:dyDescent="0.35">
      <c r="A12" t="s">
        <v>97</v>
      </c>
      <c r="B12" t="s">
        <v>59</v>
      </c>
      <c r="C12">
        <v>-4.3074677350235797</v>
      </c>
      <c r="E12" s="1">
        <v>8</v>
      </c>
      <c r="F12">
        <f t="shared" si="0"/>
        <v>0.86935823539880586</v>
      </c>
      <c r="G12">
        <v>1</v>
      </c>
      <c r="H12">
        <v>0.97509999999999997</v>
      </c>
      <c r="I12">
        <f t="shared" si="8"/>
        <v>0.97546467424916872</v>
      </c>
      <c r="J12">
        <f t="shared" si="2"/>
        <v>202.18328591669533</v>
      </c>
      <c r="K12">
        <v>105.23344942882876</v>
      </c>
      <c r="L12">
        <f t="shared" si="1"/>
        <v>103.14567477683106</v>
      </c>
      <c r="M12" s="7">
        <v>112.22278645896968</v>
      </c>
      <c r="N12">
        <f t="shared" si="3"/>
        <v>0.37531109885139968</v>
      </c>
      <c r="O12">
        <f t="shared" si="9"/>
        <v>0.37531109885139968</v>
      </c>
      <c r="P12">
        <f t="shared" si="4"/>
        <v>38.511849030684601</v>
      </c>
      <c r="Q12">
        <f t="shared" si="5"/>
        <v>37.761911966523328</v>
      </c>
      <c r="R12">
        <f t="shared" si="6"/>
        <v>3039353.0406635329</v>
      </c>
      <c r="S12">
        <f t="shared" si="7"/>
        <v>7708431.9617215917</v>
      </c>
    </row>
    <row r="13" spans="1:19" x14ac:dyDescent="0.35">
      <c r="A13" t="s">
        <v>126</v>
      </c>
      <c r="B13" t="s">
        <v>127</v>
      </c>
      <c r="C13">
        <v>0.14000000000000001</v>
      </c>
      <c r="E13" s="1">
        <v>9</v>
      </c>
      <c r="F13">
        <f t="shared" si="0"/>
        <v>0.86935823539880586</v>
      </c>
      <c r="G13">
        <v>1</v>
      </c>
      <c r="H13">
        <v>0.99</v>
      </c>
      <c r="I13">
        <f t="shared" si="8"/>
        <v>0.99277387508708825</v>
      </c>
      <c r="J13">
        <f t="shared" si="2"/>
        <v>211.52002978118662</v>
      </c>
      <c r="K13">
        <v>120.96481649466747</v>
      </c>
      <c r="L13">
        <f t="shared" si="1"/>
        <v>118.66443624800415</v>
      </c>
      <c r="M13" s="7">
        <v>128.3806497196444</v>
      </c>
      <c r="N13">
        <f t="shared" si="3"/>
        <v>0.32627979462303963</v>
      </c>
      <c r="O13">
        <f t="shared" si="9"/>
        <v>0.32627979462303963</v>
      </c>
      <c r="P13">
        <f t="shared" si="4"/>
        <v>39.073691727668837</v>
      </c>
      <c r="Q13">
        <f t="shared" si="5"/>
        <v>38.43802817190435</v>
      </c>
      <c r="R13">
        <f t="shared" si="6"/>
        <v>3905735.9245372117</v>
      </c>
      <c r="S13">
        <f t="shared" si="7"/>
        <v>10081532.731061114</v>
      </c>
    </row>
    <row r="14" spans="1:19" x14ac:dyDescent="0.35">
      <c r="B14" s="4" t="s">
        <v>69</v>
      </c>
      <c r="E14" s="1">
        <v>10</v>
      </c>
      <c r="F14">
        <f t="shared" si="0"/>
        <v>0.86935823539880586</v>
      </c>
      <c r="G14" s="1">
        <v>1</v>
      </c>
      <c r="H14" s="1">
        <v>1</v>
      </c>
      <c r="I14">
        <f t="shared" si="8"/>
        <v>0.99789808013820669</v>
      </c>
      <c r="J14">
        <f t="shared" si="2"/>
        <v>220.14694081465305</v>
      </c>
      <c r="K14" s="1">
        <v>136.83604768564703</v>
      </c>
      <c r="L14">
        <f t="shared" si="1"/>
        <v>134.34454131339592</v>
      </c>
      <c r="M14" s="7">
        <v>144.4168375358353</v>
      </c>
      <c r="N14" s="1">
        <f>N13*(1-G13*hr)*F13/(1-(1-G13*hr)*F14)</f>
        <v>2.1712354189770164</v>
      </c>
      <c r="O14">
        <f t="shared" si="9"/>
        <v>0.28365402649977051</v>
      </c>
      <c r="P14" s="1">
        <f t="shared" si="4"/>
        <v>297.10327332790484</v>
      </c>
      <c r="Q14">
        <f t="shared" si="5"/>
        <v>38.027271443753854</v>
      </c>
      <c r="R14">
        <f t="shared" si="6"/>
        <v>5202667.6563343443</v>
      </c>
      <c r="S14">
        <f t="shared" si="7"/>
        <v>13498503.371218283</v>
      </c>
    </row>
    <row r="15" spans="1:19" x14ac:dyDescent="0.35">
      <c r="B15" t="s">
        <v>72</v>
      </c>
      <c r="C15">
        <v>1846990</v>
      </c>
      <c r="E15" s="1">
        <v>11</v>
      </c>
      <c r="F15">
        <f t="shared" si="0"/>
        <v>0.86935823539880586</v>
      </c>
      <c r="G15">
        <v>1</v>
      </c>
      <c r="H15">
        <v>0.99</v>
      </c>
      <c r="I15">
        <f t="shared" si="8"/>
        <v>0.99939082766984955</v>
      </c>
      <c r="J15">
        <f t="shared" si="2"/>
        <v>228.11798458103362</v>
      </c>
      <c r="L15">
        <f t="shared" si="1"/>
        <v>150.02940293319315</v>
      </c>
      <c r="M15" s="7">
        <v>160.1624823592816</v>
      </c>
      <c r="O15">
        <f t="shared" si="9"/>
        <v>0.2465969639416066</v>
      </c>
      <c r="Q15">
        <f t="shared" si="5"/>
        <v>36.974257841317538</v>
      </c>
      <c r="R15">
        <f t="shared" si="6"/>
        <v>7067562.3307192493</v>
      </c>
      <c r="S15">
        <f t="shared" si="7"/>
        <v>18364468.11499498</v>
      </c>
    </row>
    <row r="16" spans="1:19" x14ac:dyDescent="0.35">
      <c r="B16" t="s">
        <v>70</v>
      </c>
      <c r="C16">
        <v>77.406999999999996</v>
      </c>
      <c r="E16" s="1">
        <v>12</v>
      </c>
      <c r="F16">
        <f t="shared" si="0"/>
        <v>0.86935823539880586</v>
      </c>
      <c r="G16">
        <v>1</v>
      </c>
      <c r="H16">
        <v>0.99</v>
      </c>
      <c r="I16">
        <f t="shared" si="8"/>
        <v>0.99982363879709402</v>
      </c>
      <c r="J16">
        <f t="shared" si="2"/>
        <v>235.48302387251039</v>
      </c>
      <c r="L16">
        <f t="shared" si="1"/>
        <v>165.58466101190112</v>
      </c>
      <c r="M16" s="7">
        <v>175.49476502145097</v>
      </c>
      <c r="O16">
        <f t="shared" si="9"/>
        <v>0.21438110142697808</v>
      </c>
      <c r="Q16">
        <f t="shared" si="5"/>
        <v>35.49196149800995</v>
      </c>
      <c r="R16">
        <f t="shared" si="6"/>
        <v>9662254.3782007694</v>
      </c>
      <c r="S16">
        <f t="shared" si="7"/>
        <v>25117430.861629199</v>
      </c>
    </row>
    <row r="17" spans="1:19" x14ac:dyDescent="0.35">
      <c r="B17" t="s">
        <v>71</v>
      </c>
      <c r="C17">
        <v>4.6369999999999996</v>
      </c>
      <c r="E17" s="1">
        <v>13</v>
      </c>
      <c r="F17">
        <f t="shared" si="0"/>
        <v>0.86935823539880586</v>
      </c>
      <c r="G17">
        <v>1</v>
      </c>
      <c r="H17">
        <v>0.99</v>
      </c>
      <c r="I17">
        <f t="shared" si="8"/>
        <v>0.99994895745431256</v>
      </c>
      <c r="J17">
        <f t="shared" si="2"/>
        <v>242.28813062575392</v>
      </c>
      <c r="L17">
        <f t="shared" si="1"/>
        <v>180.89721297409707</v>
      </c>
      <c r="M17" s="7">
        <v>190.28895517457241</v>
      </c>
      <c r="O17">
        <f t="shared" si="9"/>
        <v>0.18637397603941008</v>
      </c>
      <c r="Q17">
        <f t="shared" si="5"/>
        <v>33.712811960847795</v>
      </c>
      <c r="R17">
        <f t="shared" si="6"/>
        <v>13174528.862549914</v>
      </c>
      <c r="S17">
        <f t="shared" si="7"/>
        <v>34252026.6427522</v>
      </c>
    </row>
    <row r="18" spans="1:19" x14ac:dyDescent="0.35">
      <c r="B18" t="s">
        <v>73</v>
      </c>
      <c r="C18">
        <v>1</v>
      </c>
      <c r="E18" s="1">
        <v>14</v>
      </c>
      <c r="F18">
        <f t="shared" si="0"/>
        <v>0.86935823539880586</v>
      </c>
      <c r="G18">
        <v>1</v>
      </c>
      <c r="H18">
        <v>0.99</v>
      </c>
      <c r="I18">
        <f t="shared" si="8"/>
        <v>0.9999852285570503</v>
      </c>
      <c r="J18">
        <f t="shared" si="2"/>
        <v>248.57587412450658</v>
      </c>
      <c r="L18">
        <f t="shared" si="1"/>
        <v>195.87375605449114</v>
      </c>
      <c r="M18" s="7">
        <v>204.50436260889549</v>
      </c>
      <c r="O18">
        <f t="shared" si="9"/>
        <v>0.16202575093388089</v>
      </c>
      <c r="Q18">
        <f t="shared" si="5"/>
        <v>31.736123617704479</v>
      </c>
      <c r="R18">
        <f t="shared" si="6"/>
        <v>17819601.835844968</v>
      </c>
      <c r="S18">
        <f t="shared" si="7"/>
        <v>46330280.397993967</v>
      </c>
    </row>
    <row r="19" spans="1:19" x14ac:dyDescent="0.35">
      <c r="B19" t="s">
        <v>81</v>
      </c>
      <c r="C19">
        <v>2.6</v>
      </c>
      <c r="E19" s="1">
        <v>15</v>
      </c>
      <c r="F19">
        <f t="shared" si="0"/>
        <v>0.86935823539880586</v>
      </c>
      <c r="G19">
        <v>1</v>
      </c>
      <c r="H19">
        <v>0.99</v>
      </c>
      <c r="I19">
        <f t="shared" si="8"/>
        <v>0.99999572533266379</v>
      </c>
      <c r="J19">
        <f t="shared" si="2"/>
        <v>254.38558729135184</v>
      </c>
      <c r="L19">
        <f t="shared" si="1"/>
        <v>210.43905263684653</v>
      </c>
      <c r="M19" s="7">
        <v>218.03826183372541</v>
      </c>
      <c r="O19">
        <f t="shared" si="9"/>
        <v>0.14085842092104511</v>
      </c>
      <c r="Q19">
        <f t="shared" si="5"/>
        <v>29.641985944376156</v>
      </c>
      <c r="R19">
        <f t="shared" si="6"/>
        <v>23841556.384479608</v>
      </c>
      <c r="S19">
        <f t="shared" si="7"/>
        <v>61987781.621368952</v>
      </c>
    </row>
    <row r="20" spans="1:19" x14ac:dyDescent="0.35">
      <c r="E20" s="1">
        <v>16</v>
      </c>
      <c r="F20">
        <f t="shared" si="0"/>
        <v>0.86935823539880586</v>
      </c>
      <c r="G20">
        <v>1</v>
      </c>
      <c r="H20">
        <v>0.99</v>
      </c>
      <c r="I20">
        <f t="shared" si="8"/>
        <v>0.99999876297497836</v>
      </c>
      <c r="J20">
        <f t="shared" si="2"/>
        <v>259.7536127344556</v>
      </c>
      <c r="L20">
        <f t="shared" si="1"/>
        <v>224.53407039518862</v>
      </c>
      <c r="M20" s="7">
        <v>230.91823916702276</v>
      </c>
      <c r="O20">
        <f t="shared" si="9"/>
        <v>0.12245642825298202</v>
      </c>
      <c r="Q20">
        <f t="shared" si="5"/>
        <v>27.495606268903416</v>
      </c>
      <c r="R20">
        <f t="shared" si="6"/>
        <v>31514738.979225717</v>
      </c>
      <c r="S20">
        <f t="shared" si="7"/>
        <v>81938219.98623313</v>
      </c>
    </row>
    <row r="21" spans="1:19" x14ac:dyDescent="0.35">
      <c r="E21" s="1">
        <v>17</v>
      </c>
      <c r="F21">
        <f t="shared" si="0"/>
        <v>0.86935823539880586</v>
      </c>
      <c r="G21">
        <v>1</v>
      </c>
      <c r="H21">
        <v>0.99</v>
      </c>
      <c r="I21">
        <f t="shared" si="8"/>
        <v>0.9999996420241668</v>
      </c>
      <c r="J21">
        <f t="shared" si="2"/>
        <v>264.71353008842323</v>
      </c>
      <c r="L21">
        <f t="shared" si="1"/>
        <v>238.11410365372967</v>
      </c>
      <c r="O21">
        <f t="shared" si="9"/>
        <v>0.10645850437925292</v>
      </c>
      <c r="Q21">
        <f t="shared" si="5"/>
        <v>25.349262272155933</v>
      </c>
      <c r="R21">
        <f t="shared" si="6"/>
        <v>41145119.967039034</v>
      </c>
      <c r="S21">
        <f t="shared" si="7"/>
        <v>106977273.61900912</v>
      </c>
    </row>
    <row r="22" spans="1:19" x14ac:dyDescent="0.35">
      <c r="A22" t="s">
        <v>110</v>
      </c>
      <c r="B22" t="s">
        <v>109</v>
      </c>
      <c r="C22">
        <v>212</v>
      </c>
      <c r="E22" s="1">
        <v>18</v>
      </c>
      <c r="F22">
        <f t="shared" si="0"/>
        <v>0.86935823539880586</v>
      </c>
      <c r="G22">
        <v>1</v>
      </c>
      <c r="H22">
        <v>0.99</v>
      </c>
      <c r="I22">
        <f t="shared" si="8"/>
        <v>0.99999989640741715</v>
      </c>
      <c r="J22">
        <f t="shared" si="2"/>
        <v>269.29636607139963</v>
      </c>
      <c r="L22">
        <f t="shared" si="1"/>
        <v>251.14694823436156</v>
      </c>
      <c r="O22">
        <f t="shared" si="9"/>
        <v>9.255057751034336E-2</v>
      </c>
      <c r="Q22">
        <f t="shared" si="5"/>
        <v>23.243792691165702</v>
      </c>
      <c r="R22">
        <f t="shared" si="6"/>
        <v>53071621.440424897</v>
      </c>
      <c r="S22">
        <f t="shared" si="7"/>
        <v>137986201.45075625</v>
      </c>
    </row>
    <row r="23" spans="1:19" x14ac:dyDescent="0.35">
      <c r="A23" t="s">
        <v>115</v>
      </c>
      <c r="B23" t="s">
        <v>117</v>
      </c>
      <c r="C23">
        <v>5.6956841464302537E-9</v>
      </c>
      <c r="E23" s="1">
        <v>19</v>
      </c>
      <c r="F23">
        <f t="shared" si="0"/>
        <v>0.86935823539880586</v>
      </c>
      <c r="G23">
        <v>1</v>
      </c>
      <c r="H23">
        <v>0.99</v>
      </c>
      <c r="I23">
        <f t="shared" si="8"/>
        <v>0.9999999700219393</v>
      </c>
      <c r="J23">
        <f t="shared" si="2"/>
        <v>273.5307885724244</v>
      </c>
      <c r="L23">
        <f t="shared" si="1"/>
        <v>263.61117662863791</v>
      </c>
      <c r="O23">
        <f t="shared" si="9"/>
        <v>8.0459606749532508E-2</v>
      </c>
      <c r="Q23">
        <f t="shared" si="5"/>
        <v>21.210050970485547</v>
      </c>
      <c r="R23">
        <f t="shared" si="6"/>
        <v>67667415.244522423</v>
      </c>
      <c r="S23">
        <f t="shared" si="7"/>
        <v>175935274.36155981</v>
      </c>
    </row>
    <row r="24" spans="1:19" x14ac:dyDescent="0.35">
      <c r="B24" t="s">
        <v>116</v>
      </c>
      <c r="C24">
        <v>3E-9</v>
      </c>
      <c r="E24" s="1">
        <v>20</v>
      </c>
      <c r="F24">
        <f t="shared" si="0"/>
        <v>0.86935823539880586</v>
      </c>
      <c r="G24">
        <v>1</v>
      </c>
      <c r="H24">
        <v>0.99</v>
      </c>
      <c r="I24">
        <f t="shared" si="8"/>
        <v>0.9999999913248222</v>
      </c>
      <c r="J24">
        <f t="shared" si="2"/>
        <v>277.44328598315201</v>
      </c>
      <c r="L24">
        <f t="shared" si="1"/>
        <v>275.49454163553764</v>
      </c>
      <c r="O24" s="1">
        <f>O23*(1-G23*hr)*F23/(1-(1-G23*hr)*F24)</f>
        <v>0.5354200623222144</v>
      </c>
      <c r="Q24">
        <f t="shared" si="5"/>
        <v>147.50530337229469</v>
      </c>
      <c r="R24">
        <f t="shared" si="6"/>
        <v>85341193.500238001</v>
      </c>
      <c r="S24">
        <f t="shared" si="7"/>
        <v>221887101.17570874</v>
      </c>
    </row>
    <row r="28" spans="1:19" ht="15.5" x14ac:dyDescent="0.35">
      <c r="B28" s="10" t="s">
        <v>83</v>
      </c>
    </row>
    <row r="29" spans="1:19" x14ac:dyDescent="0.35">
      <c r="B29" s="6" t="s">
        <v>62</v>
      </c>
    </row>
    <row r="30" spans="1:19" x14ac:dyDescent="0.35">
      <c r="A30" t="s">
        <v>98</v>
      </c>
      <c r="B30" t="s">
        <v>42</v>
      </c>
      <c r="C30">
        <f>SUM(P5:P14)</f>
        <v>465.45378341201797</v>
      </c>
    </row>
    <row r="31" spans="1:19" x14ac:dyDescent="0.35">
      <c r="A31" t="s">
        <v>99</v>
      </c>
      <c r="B31" t="s">
        <v>43</v>
      </c>
      <c r="C31">
        <f>SUM(N5:N14)</f>
        <v>7.6545200001903488</v>
      </c>
    </row>
    <row r="32" spans="1:19" x14ac:dyDescent="0.35">
      <c r="A32" t="s">
        <v>100</v>
      </c>
      <c r="B32" t="s">
        <v>44</v>
      </c>
      <c r="C32">
        <f>C30/N5</f>
        <v>465.45378341201797</v>
      </c>
    </row>
    <row r="35" spans="1:4" x14ac:dyDescent="0.35">
      <c r="B35" s="6" t="s">
        <v>64</v>
      </c>
    </row>
    <row r="36" spans="1:4" x14ac:dyDescent="0.35">
      <c r="A36" t="s">
        <v>101</v>
      </c>
      <c r="B36" t="s">
        <v>65</v>
      </c>
      <c r="C36">
        <f>SUM(Q5:Q24)</f>
        <v>615.43576630617031</v>
      </c>
    </row>
    <row r="37" spans="1:4" x14ac:dyDescent="0.35">
      <c r="A37" t="s">
        <v>102</v>
      </c>
      <c r="B37" t="s">
        <v>66</v>
      </c>
      <c r="C37">
        <f>SUM(O5:O24)</f>
        <v>7.6545200001903497</v>
      </c>
    </row>
    <row r="38" spans="1:4" x14ac:dyDescent="0.35">
      <c r="A38" t="s">
        <v>103</v>
      </c>
      <c r="B38" t="s">
        <v>67</v>
      </c>
      <c r="C38">
        <f>C36/R0</f>
        <v>615.43576630617031</v>
      </c>
    </row>
    <row r="40" spans="1:4" x14ac:dyDescent="0.35">
      <c r="A40" t="s">
        <v>104</v>
      </c>
      <c r="B40" t="s">
        <v>86</v>
      </c>
      <c r="C40">
        <f>SUM(M5:M20)</f>
        <v>1937.7834604697773</v>
      </c>
    </row>
    <row r="41" spans="1:4" x14ac:dyDescent="0.35">
      <c r="A41" t="s">
        <v>105</v>
      </c>
      <c r="B41" t="s">
        <v>106</v>
      </c>
      <c r="C41">
        <f>SUM(L5:L24)</f>
        <v>2855.0400469823762</v>
      </c>
    </row>
    <row r="42" spans="1:4" x14ac:dyDescent="0.35">
      <c r="A42" t="s">
        <v>107</v>
      </c>
      <c r="B42" t="s">
        <v>112</v>
      </c>
      <c r="C42">
        <f>SUM(S5:S20)</f>
        <v>313659007.74183071</v>
      </c>
    </row>
    <row r="43" spans="1:4" x14ac:dyDescent="0.35">
      <c r="A43" t="s">
        <v>108</v>
      </c>
      <c r="B43" t="s">
        <v>113</v>
      </c>
      <c r="C43">
        <f>SUM(S5:S24)</f>
        <v>956444858.34886479</v>
      </c>
      <c r="D43" t="s">
        <v>186</v>
      </c>
    </row>
    <row r="45" spans="1:4" ht="29" x14ac:dyDescent="0.35">
      <c r="A45" t="s">
        <v>114</v>
      </c>
      <c r="B45" t="s">
        <v>119</v>
      </c>
      <c r="C45">
        <f>NS*C42/C40</f>
        <v>34315345.856625043</v>
      </c>
      <c r="D45" s="11" t="s">
        <v>111</v>
      </c>
    </row>
    <row r="46" spans="1:4" x14ac:dyDescent="0.35">
      <c r="A46" t="s">
        <v>118</v>
      </c>
      <c r="B46" t="s">
        <v>120</v>
      </c>
      <c r="C46">
        <f>NS*C43/C41</f>
        <v>71020478.393734768</v>
      </c>
    </row>
    <row r="47" spans="1:4" x14ac:dyDescent="0.35">
      <c r="B47" t="s">
        <v>121</v>
      </c>
      <c r="C47">
        <f>C45*Se</f>
        <v>0.19544937137485036</v>
      </c>
    </row>
    <row r="48" spans="1:4" x14ac:dyDescent="0.35">
      <c r="B48" t="s">
        <v>122</v>
      </c>
      <c r="C48">
        <f>C46*Se</f>
        <v>0.4045102128590875</v>
      </c>
    </row>
    <row r="49" spans="1:3" x14ac:dyDescent="0.35">
      <c r="A49" t="s">
        <v>123</v>
      </c>
      <c r="B49" t="s">
        <v>124</v>
      </c>
      <c r="C49">
        <f>(Alpha_s*SPR0)/(4+Alpha_s*SPR0)</f>
        <v>0.95788261118908558</v>
      </c>
    </row>
    <row r="50" spans="1:3" x14ac:dyDescent="0.35">
      <c r="A50" t="s">
        <v>123</v>
      </c>
      <c r="B50" t="s">
        <v>125</v>
      </c>
      <c r="C50">
        <f>Alpha_s_Tay*SPR0_tay/(4+Alpha_s_Tay*SPR0_tay)</f>
        <v>0.98418660144461589</v>
      </c>
    </row>
    <row r="54" spans="1:3" x14ac:dyDescent="0.35">
      <c r="A54" s="2" t="s">
        <v>51</v>
      </c>
    </row>
    <row r="55" spans="1:3" x14ac:dyDescent="0.35">
      <c r="A55" s="3" t="s">
        <v>52</v>
      </c>
    </row>
    <row r="56" spans="1:3" x14ac:dyDescent="0.35">
      <c r="A56" t="s">
        <v>57</v>
      </c>
    </row>
    <row r="57" spans="1:3" x14ac:dyDescent="0.35">
      <c r="A57" t="s">
        <v>53</v>
      </c>
      <c r="B57">
        <v>171.5</v>
      </c>
      <c r="C57">
        <v>4.0999999999999996</v>
      </c>
    </row>
    <row r="58" spans="1:3" x14ac:dyDescent="0.35">
      <c r="A58" t="s">
        <v>54</v>
      </c>
      <c r="B58">
        <v>186</v>
      </c>
      <c r="C58">
        <v>5.9</v>
      </c>
    </row>
    <row r="59" spans="1:3" x14ac:dyDescent="0.35">
      <c r="A59" t="s">
        <v>55</v>
      </c>
      <c r="B59">
        <v>209.3</v>
      </c>
      <c r="C59">
        <v>8.6999999999999993</v>
      </c>
    </row>
  </sheetData>
  <mergeCells count="4">
    <mergeCell ref="H2:I2"/>
    <mergeCell ref="K2:L2"/>
    <mergeCell ref="N2:O2"/>
    <mergeCell ref="P2:Q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59" sqref="C59"/>
    </sheetView>
  </sheetViews>
  <sheetFormatPr defaultRowHeight="14.5" x14ac:dyDescent="0.35"/>
  <cols>
    <col min="1" max="1" width="11.1796875" customWidth="1"/>
  </cols>
  <sheetData>
    <row r="1" spans="1:14" ht="15.5" thickTop="1" thickBot="1" x14ac:dyDescent="0.4">
      <c r="A1" s="32" t="s">
        <v>132</v>
      </c>
      <c r="B1" s="34" t="s">
        <v>133</v>
      </c>
      <c r="C1" s="35"/>
      <c r="D1" s="36" t="s">
        <v>134</v>
      </c>
      <c r="E1" s="37"/>
      <c r="F1" s="34" t="s">
        <v>135</v>
      </c>
      <c r="G1" s="38"/>
    </row>
    <row r="2" spans="1:14" ht="15" thickBot="1" x14ac:dyDescent="0.4">
      <c r="A2" s="33"/>
      <c r="B2" s="12" t="s">
        <v>136</v>
      </c>
      <c r="C2" s="12" t="s">
        <v>137</v>
      </c>
      <c r="D2" s="13" t="s">
        <v>136</v>
      </c>
      <c r="E2" s="13" t="s">
        <v>137</v>
      </c>
      <c r="F2" s="12" t="s">
        <v>136</v>
      </c>
      <c r="G2" s="14" t="s">
        <v>137</v>
      </c>
    </row>
    <row r="3" spans="1:14" ht="15" thickTop="1" x14ac:dyDescent="0.35">
      <c r="A3" s="15" t="s">
        <v>138</v>
      </c>
      <c r="B3" s="16" t="s">
        <v>139</v>
      </c>
      <c r="C3" s="17" t="s">
        <v>140</v>
      </c>
      <c r="D3" s="18" t="s">
        <v>141</v>
      </c>
      <c r="E3" s="18" t="s">
        <v>142</v>
      </c>
      <c r="F3" s="17" t="s">
        <v>143</v>
      </c>
      <c r="G3" s="17" t="s">
        <v>142</v>
      </c>
      <c r="I3" s="27"/>
      <c r="N3" t="s">
        <v>142</v>
      </c>
    </row>
    <row r="4" spans="1:14" x14ac:dyDescent="0.35">
      <c r="A4" s="15" t="s">
        <v>144</v>
      </c>
      <c r="B4" s="16" t="s">
        <v>145</v>
      </c>
      <c r="C4" s="17" t="s">
        <v>146</v>
      </c>
      <c r="D4" s="18" t="s">
        <v>147</v>
      </c>
      <c r="E4" s="18" t="s">
        <v>148</v>
      </c>
      <c r="F4" s="17" t="s">
        <v>149</v>
      </c>
      <c r="G4" s="17" t="s">
        <v>150</v>
      </c>
      <c r="N4" t="s">
        <v>150</v>
      </c>
    </row>
    <row r="5" spans="1:14" ht="17" x14ac:dyDescent="0.35">
      <c r="A5" s="15" t="s">
        <v>151</v>
      </c>
      <c r="B5" s="19">
        <v>-3.762</v>
      </c>
      <c r="C5" s="20">
        <v>-34875</v>
      </c>
      <c r="D5" s="18" t="s">
        <v>152</v>
      </c>
      <c r="E5" s="18" t="s">
        <v>152</v>
      </c>
      <c r="F5" s="20">
        <v>-3764</v>
      </c>
      <c r="G5" s="20">
        <v>-3480</v>
      </c>
      <c r="N5">
        <v>-3480</v>
      </c>
    </row>
    <row r="6" spans="1:14" x14ac:dyDescent="0.35">
      <c r="A6" s="21" t="s">
        <v>153</v>
      </c>
      <c r="B6" s="17" t="s">
        <v>152</v>
      </c>
      <c r="C6" s="17" t="s">
        <v>152</v>
      </c>
      <c r="D6" s="22">
        <v>-1976</v>
      </c>
      <c r="E6" s="22">
        <v>-2921</v>
      </c>
      <c r="F6" s="17" t="s">
        <v>154</v>
      </c>
      <c r="G6" s="17" t="s">
        <v>155</v>
      </c>
      <c r="N6" t="s">
        <v>155</v>
      </c>
    </row>
    <row r="7" spans="1:14" ht="17.5" thickBot="1" x14ac:dyDescent="0.4">
      <c r="A7" s="23" t="s">
        <v>156</v>
      </c>
      <c r="B7" s="24" t="s">
        <v>152</v>
      </c>
      <c r="C7" s="24" t="s">
        <v>152</v>
      </c>
      <c r="D7" s="25" t="s">
        <v>157</v>
      </c>
      <c r="E7" s="25" t="s">
        <v>157</v>
      </c>
      <c r="F7" s="24" t="s">
        <v>152</v>
      </c>
      <c r="G7" s="24" t="s">
        <v>152</v>
      </c>
      <c r="N7" t="s">
        <v>152</v>
      </c>
    </row>
    <row r="9" spans="1:14" x14ac:dyDescent="0.35">
      <c r="A9" s="26" t="s">
        <v>158</v>
      </c>
      <c r="B9" s="27">
        <f>AVERAGE(E9:G9)</f>
        <v>336.68333333333334</v>
      </c>
      <c r="C9">
        <f>_xlfn.STDEV.S(E9:G9)</f>
        <v>33.978936612750758</v>
      </c>
      <c r="E9">
        <v>312.27</v>
      </c>
      <c r="F9">
        <v>375.49</v>
      </c>
      <c r="G9">
        <v>322.29000000000002</v>
      </c>
    </row>
    <row r="10" spans="1:14" x14ac:dyDescent="0.35">
      <c r="A10" s="26" t="s">
        <v>159</v>
      </c>
      <c r="B10">
        <f>AVERAGE(E10:G10)</f>
        <v>6.321333333333333E-2</v>
      </c>
      <c r="C10">
        <f t="shared" ref="C10:C11" si="0">_xlfn.STDEV.S(E10:G10)</f>
        <v>4.8409446736492806E-2</v>
      </c>
      <c r="E10">
        <v>9.2600000000000002E-2</v>
      </c>
      <c r="F10">
        <v>7.3400000000000002E-3</v>
      </c>
      <c r="G10">
        <v>8.9700000000000002E-2</v>
      </c>
    </row>
    <row r="11" spans="1:14" x14ac:dyDescent="0.35">
      <c r="A11" s="26" t="s">
        <v>160</v>
      </c>
      <c r="B11">
        <f>AVERAGE(E11:G11)</f>
        <v>-2.5086666666666666</v>
      </c>
      <c r="C11">
        <f t="shared" si="0"/>
        <v>2.1725692931028306</v>
      </c>
      <c r="E11">
        <v>-3.762</v>
      </c>
      <c r="F11">
        <v>0</v>
      </c>
      <c r="G11">
        <v>-3.7639999999999998</v>
      </c>
    </row>
    <row r="18" spans="1:1" x14ac:dyDescent="0.35">
      <c r="A18" t="s">
        <v>127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D11" sqref="D11"/>
    </sheetView>
  </sheetViews>
  <sheetFormatPr defaultRowHeight="14.5" x14ac:dyDescent="0.35"/>
  <cols>
    <col min="1" max="1" width="17.453125" bestFit="1" customWidth="1"/>
    <col min="2" max="2" width="12.453125" bestFit="1" customWidth="1"/>
    <col min="3" max="3" width="11.81640625" bestFit="1" customWidth="1"/>
    <col min="4" max="4" width="12.453125" bestFit="1" customWidth="1"/>
    <col min="5" max="6" width="11.81640625" bestFit="1" customWidth="1"/>
    <col min="7" max="7" width="191.6328125" bestFit="1" customWidth="1"/>
    <col min="8" max="8" width="12" bestFit="1" customWidth="1"/>
  </cols>
  <sheetData>
    <row r="1" spans="1:7" x14ac:dyDescent="0.35">
      <c r="A1" s="1" t="s">
        <v>167</v>
      </c>
      <c r="B1" s="1" t="s">
        <v>161</v>
      </c>
      <c r="C1" s="1" t="s">
        <v>162</v>
      </c>
      <c r="D1" s="1" t="s">
        <v>187</v>
      </c>
      <c r="E1" s="1" t="s">
        <v>188</v>
      </c>
      <c r="F1" s="1" t="s">
        <v>189</v>
      </c>
      <c r="G1" s="1" t="s">
        <v>88</v>
      </c>
    </row>
    <row r="2" spans="1:7" x14ac:dyDescent="0.35">
      <c r="A2" t="s">
        <v>127</v>
      </c>
      <c r="B2">
        <f>AVERAGE(0.28,0.21)</f>
        <v>0.245</v>
      </c>
      <c r="C2">
        <f>_xlfn.STDEV.S(0.28,0.21)</f>
        <v>4.9497474683058408E-2</v>
      </c>
      <c r="D2">
        <f>C2/B2</f>
        <v>0.2020305089104425</v>
      </c>
      <c r="E2">
        <v>0</v>
      </c>
      <c r="F2">
        <f t="shared" ref="F2:F10" si="0">B2*2</f>
        <v>0.49</v>
      </c>
      <c r="G2" t="s">
        <v>165</v>
      </c>
    </row>
    <row r="3" spans="1:7" x14ac:dyDescent="0.35">
      <c r="A3" t="s">
        <v>191</v>
      </c>
      <c r="B3">
        <f>B28</f>
        <v>127.23125377555561</v>
      </c>
      <c r="D3" s="7">
        <v>0.2</v>
      </c>
      <c r="G3" t="s">
        <v>197</v>
      </c>
    </row>
    <row r="4" spans="1:7" x14ac:dyDescent="0.35">
      <c r="A4" t="s">
        <v>193</v>
      </c>
      <c r="B4">
        <f>B29-B28</f>
        <v>24.874786311456489</v>
      </c>
      <c r="D4" s="7">
        <v>0.2</v>
      </c>
    </row>
    <row r="5" spans="1:7" x14ac:dyDescent="0.35">
      <c r="A5" t="s">
        <v>198</v>
      </c>
      <c r="B5">
        <f>B3/B10</f>
        <v>0.37789590745672674</v>
      </c>
      <c r="D5" s="7">
        <v>0.2</v>
      </c>
    </row>
    <row r="6" spans="1:7" x14ac:dyDescent="0.35">
      <c r="A6" t="s">
        <v>128</v>
      </c>
      <c r="B6">
        <v>1.24</v>
      </c>
      <c r="C6">
        <f>0.2*B6</f>
        <v>0.248</v>
      </c>
      <c r="D6">
        <f t="shared" ref="D6:D19" si="1">C6/B6</f>
        <v>0.2</v>
      </c>
      <c r="E6">
        <v>0.01</v>
      </c>
      <c r="F6">
        <f t="shared" si="0"/>
        <v>2.48</v>
      </c>
      <c r="G6" t="s">
        <v>163</v>
      </c>
    </row>
    <row r="7" spans="1:7" x14ac:dyDescent="0.35">
      <c r="A7" t="s">
        <v>129</v>
      </c>
      <c r="B7">
        <v>5.0134350000000003</v>
      </c>
      <c r="C7">
        <v>1.337331</v>
      </c>
      <c r="D7">
        <f t="shared" si="1"/>
        <v>0.2667494442433182</v>
      </c>
      <c r="E7">
        <v>1</v>
      </c>
      <c r="F7">
        <f t="shared" si="0"/>
        <v>10.026870000000001</v>
      </c>
      <c r="G7" t="s">
        <v>164</v>
      </c>
    </row>
    <row r="8" spans="1:7" x14ac:dyDescent="0.35">
      <c r="A8" t="s">
        <v>130</v>
      </c>
      <c r="B8">
        <v>7.1620000000000002E-6</v>
      </c>
      <c r="C8">
        <f>0.2*B8</f>
        <v>1.4324E-6</v>
      </c>
      <c r="D8">
        <f t="shared" si="1"/>
        <v>0.2</v>
      </c>
      <c r="E8">
        <v>0</v>
      </c>
      <c r="F8">
        <f t="shared" si="0"/>
        <v>1.4324E-5</v>
      </c>
      <c r="G8" t="s">
        <v>163</v>
      </c>
    </row>
    <row r="9" spans="1:7" x14ac:dyDescent="0.35">
      <c r="A9" t="s">
        <v>131</v>
      </c>
      <c r="B9">
        <v>3.1046</v>
      </c>
      <c r="C9">
        <f>0.2*B9</f>
        <v>0.62092000000000003</v>
      </c>
      <c r="D9">
        <f t="shared" si="1"/>
        <v>0.2</v>
      </c>
      <c r="E9">
        <v>2</v>
      </c>
      <c r="F9">
        <f t="shared" si="0"/>
        <v>6.2092000000000001</v>
      </c>
      <c r="G9" t="s">
        <v>163</v>
      </c>
    </row>
    <row r="10" spans="1:7" x14ac:dyDescent="0.35">
      <c r="A10" t="s">
        <v>27</v>
      </c>
      <c r="B10">
        <f>growth!B9</f>
        <v>336.68333333333334</v>
      </c>
      <c r="C10">
        <f>growth!C9</f>
        <v>33.978936612750758</v>
      </c>
      <c r="D10">
        <f t="shared" si="1"/>
        <v>0.10092253832805531</v>
      </c>
      <c r="E10">
        <v>100</v>
      </c>
      <c r="F10">
        <f t="shared" si="0"/>
        <v>673.36666666666667</v>
      </c>
      <c r="G10" t="s">
        <v>166</v>
      </c>
    </row>
    <row r="11" spans="1:7" x14ac:dyDescent="0.35">
      <c r="A11" t="s">
        <v>58</v>
      </c>
      <c r="B11">
        <f>growth!B10</f>
        <v>6.321333333333333E-2</v>
      </c>
      <c r="C11">
        <f>growth!C10</f>
        <v>4.8409446736492806E-2</v>
      </c>
      <c r="D11" s="7">
        <v>0.2</v>
      </c>
      <c r="E11">
        <v>0.01</v>
      </c>
      <c r="F11">
        <f>B11*2</f>
        <v>0.12642666666666666</v>
      </c>
      <c r="G11" t="s">
        <v>166</v>
      </c>
    </row>
    <row r="12" spans="1:7" x14ac:dyDescent="0.35">
      <c r="A12" t="s">
        <v>59</v>
      </c>
      <c r="B12">
        <f>growth!B11</f>
        <v>-2.5086666666666666</v>
      </c>
      <c r="C12">
        <f>growth!C11</f>
        <v>2.1725692931028306</v>
      </c>
      <c r="D12" s="7">
        <v>0.2</v>
      </c>
      <c r="E12">
        <v>-3</v>
      </c>
      <c r="F12">
        <v>0</v>
      </c>
      <c r="G12" t="s">
        <v>166</v>
      </c>
    </row>
    <row r="13" spans="1:7" x14ac:dyDescent="0.35">
      <c r="A13" t="s">
        <v>72</v>
      </c>
      <c r="B13">
        <v>1846990</v>
      </c>
      <c r="C13">
        <f>0.2*B13</f>
        <v>369398</v>
      </c>
      <c r="D13">
        <f t="shared" si="1"/>
        <v>0.2</v>
      </c>
      <c r="E13">
        <f>B13/3</f>
        <v>615663.33333333337</v>
      </c>
      <c r="F13">
        <f>C13*2</f>
        <v>738796</v>
      </c>
      <c r="G13" t="s">
        <v>163</v>
      </c>
    </row>
    <row r="14" spans="1:7" x14ac:dyDescent="0.35">
      <c r="A14" t="s">
        <v>70</v>
      </c>
      <c r="B14">
        <v>77.406999999999996</v>
      </c>
      <c r="C14">
        <f t="shared" ref="C14:C19" si="2">0.2*B14</f>
        <v>15.481400000000001</v>
      </c>
      <c r="D14">
        <f t="shared" si="1"/>
        <v>0.2</v>
      </c>
      <c r="E14">
        <f t="shared" ref="E14:E19" si="3">B14/3</f>
        <v>25.802333333333333</v>
      </c>
      <c r="F14">
        <f t="shared" ref="F14:F19" si="4">C14*2</f>
        <v>30.962800000000001</v>
      </c>
      <c r="G14" t="s">
        <v>163</v>
      </c>
    </row>
    <row r="15" spans="1:7" x14ac:dyDescent="0.35">
      <c r="A15" t="s">
        <v>71</v>
      </c>
      <c r="B15">
        <v>4.6369999999999996</v>
      </c>
      <c r="C15">
        <f t="shared" si="2"/>
        <v>0.9274</v>
      </c>
      <c r="D15">
        <f t="shared" si="1"/>
        <v>0.2</v>
      </c>
      <c r="E15">
        <f t="shared" si="3"/>
        <v>1.5456666666666665</v>
      </c>
      <c r="F15">
        <f t="shared" si="4"/>
        <v>1.8548</v>
      </c>
      <c r="G15" t="s">
        <v>163</v>
      </c>
    </row>
    <row r="16" spans="1:7" x14ac:dyDescent="0.35">
      <c r="A16" t="s">
        <v>73</v>
      </c>
      <c r="B16">
        <v>1</v>
      </c>
      <c r="C16">
        <f t="shared" si="2"/>
        <v>0.2</v>
      </c>
      <c r="D16">
        <f t="shared" si="1"/>
        <v>0.2</v>
      </c>
      <c r="E16">
        <f t="shared" si="3"/>
        <v>0.33333333333333331</v>
      </c>
      <c r="F16">
        <f t="shared" si="4"/>
        <v>0.4</v>
      </c>
      <c r="G16" t="s">
        <v>163</v>
      </c>
    </row>
    <row r="17" spans="1:7" x14ac:dyDescent="0.35">
      <c r="A17" t="s">
        <v>81</v>
      </c>
      <c r="B17">
        <v>2.6</v>
      </c>
      <c r="C17">
        <f t="shared" si="2"/>
        <v>0.52</v>
      </c>
      <c r="D17">
        <f t="shared" si="1"/>
        <v>0.2</v>
      </c>
      <c r="E17">
        <f t="shared" si="3"/>
        <v>0.8666666666666667</v>
      </c>
      <c r="F17">
        <f t="shared" si="4"/>
        <v>1.04</v>
      </c>
      <c r="G17" t="s">
        <v>163</v>
      </c>
    </row>
    <row r="18" spans="1:7" x14ac:dyDescent="0.35">
      <c r="A18" t="s">
        <v>109</v>
      </c>
      <c r="B18">
        <v>212</v>
      </c>
      <c r="C18">
        <f t="shared" si="2"/>
        <v>42.400000000000006</v>
      </c>
      <c r="D18">
        <f t="shared" si="1"/>
        <v>0.20000000000000004</v>
      </c>
      <c r="E18">
        <f t="shared" si="3"/>
        <v>70.666666666666671</v>
      </c>
      <c r="F18">
        <f t="shared" si="4"/>
        <v>84.800000000000011</v>
      </c>
      <c r="G18" t="s">
        <v>163</v>
      </c>
    </row>
    <row r="19" spans="1:7" x14ac:dyDescent="0.35">
      <c r="A19" t="s">
        <v>117</v>
      </c>
      <c r="B19">
        <v>5.6956799999999999E-9</v>
      </c>
      <c r="C19">
        <f t="shared" si="2"/>
        <v>1.139136E-9</v>
      </c>
      <c r="D19">
        <f t="shared" si="1"/>
        <v>0.2</v>
      </c>
      <c r="E19">
        <f t="shared" si="3"/>
        <v>1.8985600000000001E-9</v>
      </c>
      <c r="F19">
        <f t="shared" si="4"/>
        <v>2.2782720000000001E-9</v>
      </c>
      <c r="G19" t="s">
        <v>163</v>
      </c>
    </row>
    <row r="24" spans="1:7" x14ac:dyDescent="0.35">
      <c r="A24" t="s">
        <v>196</v>
      </c>
    </row>
    <row r="26" spans="1:7" x14ac:dyDescent="0.35">
      <c r="A26" t="s">
        <v>190</v>
      </c>
      <c r="C26" t="s">
        <v>33</v>
      </c>
      <c r="D26" t="s">
        <v>194</v>
      </c>
      <c r="E26" t="s">
        <v>195</v>
      </c>
    </row>
    <row r="27" spans="1:7" x14ac:dyDescent="0.35">
      <c r="C27">
        <v>0</v>
      </c>
      <c r="D27" s="40">
        <f>$B$10*(1-EXP(-$B$11*(C27-$B$12)))</f>
        <v>49.373370549025893</v>
      </c>
      <c r="E27" s="39">
        <f>1/(1+EXP(-$B$6*(C27-$B$7)))</f>
        <v>1.991925913685035E-3</v>
      </c>
    </row>
    <row r="28" spans="1:7" x14ac:dyDescent="0.35">
      <c r="A28" t="s">
        <v>191</v>
      </c>
      <c r="B28">
        <f>INDEX($D$27:$D$67,MATCH(0.5,$E$27:$E$67))</f>
        <v>127.23125377555561</v>
      </c>
      <c r="C28">
        <v>0.5</v>
      </c>
      <c r="D28" s="40">
        <f t="shared" ref="D28:D67" si="5">$B$10*(1-EXP(-$B$11*(C28-$B$12)))</f>
        <v>58.312272193145539</v>
      </c>
      <c r="E28" s="39">
        <f t="shared" ref="E28:E67" si="6">1/(1+EXP(-$B$6*(C28-$B$7)))</f>
        <v>3.6965224802004322E-3</v>
      </c>
    </row>
    <row r="29" spans="1:7" x14ac:dyDescent="0.35">
      <c r="A29" t="s">
        <v>192</v>
      </c>
      <c r="B29">
        <f>INDEX($D$27:$D$67,MATCH(0.95,$E$27:$E$67))</f>
        <v>152.1060400870121</v>
      </c>
      <c r="C29">
        <v>1</v>
      </c>
      <c r="D29" s="40">
        <f t="shared" si="5"/>
        <v>66.973063179949662</v>
      </c>
      <c r="E29" s="39">
        <f t="shared" si="6"/>
        <v>6.8498207940606371E-3</v>
      </c>
    </row>
    <row r="30" spans="1:7" x14ac:dyDescent="0.35">
      <c r="C30">
        <v>1.5</v>
      </c>
      <c r="D30" s="40">
        <f t="shared" si="5"/>
        <v>75.364396198637849</v>
      </c>
      <c r="E30" s="39">
        <f t="shared" si="6"/>
        <v>1.2658845597605254E-2</v>
      </c>
    </row>
    <row r="31" spans="1:7" x14ac:dyDescent="0.35">
      <c r="C31">
        <v>2</v>
      </c>
      <c r="D31" s="40">
        <f t="shared" si="5"/>
        <v>83.494654732507655</v>
      </c>
      <c r="E31" s="39">
        <f t="shared" si="6"/>
        <v>2.327877209772258E-2</v>
      </c>
    </row>
    <row r="32" spans="1:7" x14ac:dyDescent="0.35">
      <c r="C32">
        <v>2.5</v>
      </c>
      <c r="D32" s="40">
        <f t="shared" si="5"/>
        <v>91.371961434595391</v>
      </c>
      <c r="E32" s="39">
        <f t="shared" si="6"/>
        <v>4.2425277708037272E-2</v>
      </c>
    </row>
    <row r="33" spans="3:5" x14ac:dyDescent="0.35">
      <c r="C33">
        <v>3</v>
      </c>
      <c r="D33" s="40">
        <f t="shared" si="5"/>
        <v>99.004186242730881</v>
      </c>
      <c r="E33" s="39">
        <f t="shared" si="6"/>
        <v>7.6092700568024599E-2</v>
      </c>
    </row>
    <row r="34" spans="3:5" x14ac:dyDescent="0.35">
      <c r="C34">
        <v>3.5</v>
      </c>
      <c r="D34" s="40">
        <f t="shared" si="5"/>
        <v>106.39895424211326</v>
      </c>
      <c r="E34" s="39">
        <f t="shared" si="6"/>
        <v>0.13277305317005381</v>
      </c>
    </row>
    <row r="35" spans="3:5" x14ac:dyDescent="0.35">
      <c r="C35">
        <v>4</v>
      </c>
      <c r="D35" s="40">
        <f t="shared" si="5"/>
        <v>113.56365328326329</v>
      </c>
      <c r="E35" s="39">
        <f t="shared" si="6"/>
        <v>0.22154949389842488</v>
      </c>
    </row>
    <row r="36" spans="3:5" x14ac:dyDescent="0.35">
      <c r="C36">
        <v>4.5</v>
      </c>
      <c r="D36" s="40">
        <f t="shared" si="5"/>
        <v>120.50544136296284</v>
      </c>
      <c r="E36" s="39">
        <f t="shared" si="6"/>
        <v>0.34600207647531295</v>
      </c>
    </row>
    <row r="37" spans="3:5" x14ac:dyDescent="0.35">
      <c r="C37">
        <v>5</v>
      </c>
      <c r="D37" s="40">
        <f t="shared" si="5"/>
        <v>127.23125377555561</v>
      </c>
      <c r="E37" s="39">
        <f t="shared" si="6"/>
        <v>0.49583524632184145</v>
      </c>
    </row>
    <row r="38" spans="3:5" x14ac:dyDescent="0.35">
      <c r="C38">
        <v>5.5</v>
      </c>
      <c r="D38" s="40">
        <f t="shared" si="5"/>
        <v>133.74781004175398</v>
      </c>
      <c r="E38" s="39">
        <f t="shared" si="6"/>
        <v>0.64642021044895726</v>
      </c>
    </row>
    <row r="39" spans="3:5" x14ac:dyDescent="0.35">
      <c r="C39">
        <v>6</v>
      </c>
      <c r="D39" s="40">
        <f t="shared" si="5"/>
        <v>140.06162062187377</v>
      </c>
      <c r="E39" s="39">
        <f t="shared" si="6"/>
        <v>0.77265089861363323</v>
      </c>
    </row>
    <row r="40" spans="3:5" x14ac:dyDescent="0.35">
      <c r="C40">
        <v>6.5</v>
      </c>
      <c r="D40" s="40">
        <f t="shared" si="5"/>
        <v>146.17899342020434</v>
      </c>
      <c r="E40" s="39">
        <f t="shared" si="6"/>
        <v>0.8633433154769854</v>
      </c>
    </row>
    <row r="41" spans="3:5" x14ac:dyDescent="0.35">
      <c r="C41">
        <v>7</v>
      </c>
      <c r="D41" s="40">
        <f t="shared" si="5"/>
        <v>152.1060400870121</v>
      </c>
      <c r="E41" s="39">
        <f t="shared" si="6"/>
        <v>0.92153156583561691</v>
      </c>
    </row>
    <row r="42" spans="3:5" x14ac:dyDescent="0.35">
      <c r="C42">
        <v>7.5</v>
      </c>
      <c r="D42" s="40">
        <f t="shared" si="5"/>
        <v>157.84868212447373</v>
      </c>
      <c r="E42" s="39">
        <f t="shared" si="6"/>
        <v>0.95620030662185085</v>
      </c>
    </row>
    <row r="43" spans="3:5" x14ac:dyDescent="0.35">
      <c r="C43">
        <v>8</v>
      </c>
      <c r="D43" s="40">
        <f t="shared" si="5"/>
        <v>163.41265680263879</v>
      </c>
      <c r="E43" s="39">
        <f t="shared" si="6"/>
        <v>0.97595150779183415</v>
      </c>
    </row>
    <row r="44" spans="3:5" x14ac:dyDescent="0.35">
      <c r="C44">
        <v>8.5</v>
      </c>
      <c r="D44" s="40">
        <f t="shared" si="5"/>
        <v>168.80352289133313</v>
      </c>
      <c r="E44" s="39">
        <f t="shared" si="6"/>
        <v>0.98691788229886834</v>
      </c>
    </row>
    <row r="45" spans="3:5" x14ac:dyDescent="0.35">
      <c r="C45">
        <v>9</v>
      </c>
      <c r="D45" s="40">
        <f t="shared" si="5"/>
        <v>174.02666621372839</v>
      </c>
      <c r="E45" s="39">
        <f t="shared" si="6"/>
        <v>0.99291974980840991</v>
      </c>
    </row>
    <row r="46" spans="3:5" x14ac:dyDescent="0.35">
      <c r="C46">
        <v>9.5</v>
      </c>
      <c r="D46" s="40">
        <f t="shared" si="5"/>
        <v>179.08730502712729</v>
      </c>
      <c r="E46" s="39">
        <f t="shared" si="6"/>
        <v>0.99617871758575727</v>
      </c>
    </row>
    <row r="47" spans="3:5" x14ac:dyDescent="0.35">
      <c r="C47">
        <v>10</v>
      </c>
      <c r="D47" s="40">
        <f t="shared" si="5"/>
        <v>183.99049523633926</v>
      </c>
      <c r="E47" s="39">
        <f t="shared" si="6"/>
        <v>0.99794072643512832</v>
      </c>
    </row>
    <row r="48" spans="3:5" x14ac:dyDescent="0.35">
      <c r="C48">
        <v>10.5</v>
      </c>
      <c r="D48" s="40">
        <f t="shared" si="5"/>
        <v>188.74113544485581</v>
      </c>
      <c r="E48" s="39">
        <f t="shared" si="6"/>
        <v>0.99889117019005225</v>
      </c>
    </row>
    <row r="49" spans="3:5" x14ac:dyDescent="0.35">
      <c r="C49">
        <v>11</v>
      </c>
      <c r="D49" s="40">
        <f t="shared" si="5"/>
        <v>193.3439718488714</v>
      </c>
      <c r="E49" s="39">
        <f t="shared" si="6"/>
        <v>0.99940320540917305</v>
      </c>
    </row>
    <row r="50" spans="3:5" x14ac:dyDescent="0.35">
      <c r="C50">
        <v>11.5</v>
      </c>
      <c r="D50" s="40">
        <f t="shared" si="5"/>
        <v>197.80360297904016</v>
      </c>
      <c r="E50" s="39">
        <f t="shared" si="6"/>
        <v>0.99967886911691117</v>
      </c>
    </row>
    <row r="51" spans="3:5" x14ac:dyDescent="0.35">
      <c r="C51">
        <v>12</v>
      </c>
      <c r="D51" s="40">
        <f t="shared" si="5"/>
        <v>202.12448429470436</v>
      </c>
      <c r="E51" s="39">
        <f t="shared" si="6"/>
        <v>0.99982722379111488</v>
      </c>
    </row>
    <row r="52" spans="3:5" x14ac:dyDescent="0.35">
      <c r="C52">
        <v>12.5</v>
      </c>
      <c r="D52" s="40">
        <f t="shared" si="5"/>
        <v>206.31093263518613</v>
      </c>
      <c r="E52" s="39">
        <f t="shared" si="6"/>
        <v>0.99990704857896451</v>
      </c>
    </row>
    <row r="53" spans="3:5" x14ac:dyDescent="0.35">
      <c r="C53">
        <v>13</v>
      </c>
      <c r="D53" s="40">
        <f t="shared" si="5"/>
        <v>210.36713053258862</v>
      </c>
      <c r="E53" s="39">
        <f t="shared" si="6"/>
        <v>0.99994999515244321</v>
      </c>
    </row>
    <row r="54" spans="3:5" x14ac:dyDescent="0.35">
      <c r="C54">
        <v>13.5</v>
      </c>
      <c r="D54" s="40">
        <f t="shared" si="5"/>
        <v>214.29713039041533</v>
      </c>
      <c r="E54" s="39">
        <f t="shared" si="6"/>
        <v>0.99997309954886859</v>
      </c>
    </row>
    <row r="55" spans="3:5" x14ac:dyDescent="0.35">
      <c r="C55">
        <v>14</v>
      </c>
      <c r="D55" s="40">
        <f t="shared" si="5"/>
        <v>218.10485853218293</v>
      </c>
      <c r="E55" s="39">
        <f t="shared" si="6"/>
        <v>0.99998552887207615</v>
      </c>
    </row>
    <row r="56" spans="3:5" x14ac:dyDescent="0.35">
      <c r="C56">
        <v>14.5</v>
      </c>
      <c r="D56" s="40">
        <f t="shared" si="5"/>
        <v>221.79411912407181</v>
      </c>
      <c r="E56" s="39">
        <f t="shared" si="6"/>
        <v>0.99999221528517557</v>
      </c>
    </row>
    <row r="57" spans="3:5" x14ac:dyDescent="0.35">
      <c r="C57">
        <v>15</v>
      </c>
      <c r="D57" s="40">
        <f t="shared" si="5"/>
        <v>225.36859797553359</v>
      </c>
      <c r="E57" s="39">
        <f t="shared" si="6"/>
        <v>0.99999581224089862</v>
      </c>
    </row>
    <row r="58" spans="3:5" x14ac:dyDescent="0.35">
      <c r="C58">
        <v>15.5</v>
      </c>
      <c r="D58" s="40">
        <f t="shared" si="5"/>
        <v>228.8318662216528</v>
      </c>
      <c r="E58" s="39">
        <f t="shared" si="6"/>
        <v>0.99999774721392631</v>
      </c>
    </row>
    <row r="59" spans="3:5" x14ac:dyDescent="0.35">
      <c r="C59">
        <v>16</v>
      </c>
      <c r="D59" s="40">
        <f t="shared" si="5"/>
        <v>232.18738389094113</v>
      </c>
      <c r="E59" s="39">
        <f t="shared" si="6"/>
        <v>0.99999878812500098</v>
      </c>
    </row>
    <row r="60" spans="3:5" x14ac:dyDescent="0.35">
      <c r="C60">
        <v>16.5</v>
      </c>
      <c r="D60" s="40">
        <f t="shared" si="5"/>
        <v>235.43850336212944</v>
      </c>
      <c r="E60" s="39">
        <f t="shared" si="6"/>
        <v>0.99999934807822033</v>
      </c>
    </row>
    <row r="61" spans="3:5" x14ac:dyDescent="0.35">
      <c r="C61">
        <v>17</v>
      </c>
      <c r="D61" s="40">
        <f t="shared" si="5"/>
        <v>238.58847271341028</v>
      </c>
      <c r="E61" s="39">
        <f t="shared" si="6"/>
        <v>0.9999996493021992</v>
      </c>
    </row>
    <row r="62" spans="3:5" x14ac:dyDescent="0.35">
      <c r="C62">
        <v>17.5</v>
      </c>
      <c r="D62" s="40">
        <f t="shared" si="5"/>
        <v>241.64043896747788</v>
      </c>
      <c r="E62" s="39">
        <f t="shared" si="6"/>
        <v>0.99999981134403815</v>
      </c>
    </row>
    <row r="63" spans="3:5" x14ac:dyDescent="0.35">
      <c r="C63">
        <v>18</v>
      </c>
      <c r="D63" s="40">
        <f t="shared" si="5"/>
        <v>244.59745123560671</v>
      </c>
      <c r="E63" s="39">
        <f t="shared" si="6"/>
        <v>0.99999989851356597</v>
      </c>
    </row>
    <row r="64" spans="3:5" x14ac:dyDescent="0.35">
      <c r="C64">
        <v>18.5</v>
      </c>
      <c r="D64" s="40">
        <f t="shared" si="5"/>
        <v>247.46246376391062</v>
      </c>
      <c r="E64" s="39">
        <f t="shared" si="6"/>
        <v>0.99999994540593484</v>
      </c>
    </row>
    <row r="65" spans="3:5" x14ac:dyDescent="0.35">
      <c r="C65">
        <v>19</v>
      </c>
      <c r="D65" s="40">
        <f t="shared" si="5"/>
        <v>250.23833888482534</v>
      </c>
      <c r="E65" s="39">
        <f t="shared" si="6"/>
        <v>0.99999997063142554</v>
      </c>
    </row>
    <row r="66" spans="3:5" x14ac:dyDescent="0.35">
      <c r="C66">
        <v>19.5</v>
      </c>
      <c r="D66" s="40">
        <f t="shared" si="5"/>
        <v>252.9278498767633</v>
      </c>
      <c r="E66" s="39">
        <f t="shared" si="6"/>
        <v>0.99999998420133851</v>
      </c>
    </row>
    <row r="67" spans="3:5" x14ac:dyDescent="0.35">
      <c r="C67">
        <v>20</v>
      </c>
      <c r="D67" s="40">
        <f t="shared" si="5"/>
        <v>255.53368373479776</v>
      </c>
      <c r="E67" s="39">
        <f t="shared" si="6"/>
        <v>0.999999991501198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C9" sqref="C9"/>
    </sheetView>
  </sheetViews>
  <sheetFormatPr defaultRowHeight="14.5" x14ac:dyDescent="0.35"/>
  <cols>
    <col min="1" max="1" width="25.90625" bestFit="1" customWidth="1"/>
    <col min="2" max="2" width="17.1796875" bestFit="1" customWidth="1"/>
    <col min="5" max="5" width="35.08984375" style="28" customWidth="1"/>
  </cols>
  <sheetData>
    <row r="1" spans="1:5" x14ac:dyDescent="0.35">
      <c r="A1" s="1" t="s">
        <v>132</v>
      </c>
      <c r="B1" s="1" t="s">
        <v>168</v>
      </c>
      <c r="C1" s="1" t="s">
        <v>161</v>
      </c>
      <c r="D1" s="1" t="s">
        <v>162</v>
      </c>
      <c r="E1" s="9" t="s">
        <v>88</v>
      </c>
    </row>
    <row r="2" spans="1:5" ht="43.5" x14ac:dyDescent="0.35">
      <c r="A2" s="29" t="s">
        <v>169</v>
      </c>
      <c r="B2" s="29" t="s">
        <v>127</v>
      </c>
      <c r="C2" s="29">
        <f>AVERAGE(0.28,0.21)</f>
        <v>0.245</v>
      </c>
      <c r="D2" s="29">
        <f>_xlfn.STDEV.S(0.28,0.21)</f>
        <v>4.9497474683058408E-2</v>
      </c>
      <c r="E2" s="30" t="s">
        <v>185</v>
      </c>
    </row>
    <row r="3" spans="1:5" x14ac:dyDescent="0.35">
      <c r="A3" s="29" t="s">
        <v>171</v>
      </c>
      <c r="B3" s="29" t="s">
        <v>128</v>
      </c>
      <c r="C3" s="29">
        <v>1.24</v>
      </c>
      <c r="D3" s="29">
        <f>0.2*C3</f>
        <v>0.248</v>
      </c>
      <c r="E3" s="30" t="s">
        <v>163</v>
      </c>
    </row>
    <row r="4" spans="1:5" x14ac:dyDescent="0.35">
      <c r="A4" s="29" t="s">
        <v>170</v>
      </c>
      <c r="B4" s="29" t="s">
        <v>129</v>
      </c>
      <c r="C4" s="29">
        <v>5.0134350000000003</v>
      </c>
      <c r="D4" s="29">
        <v>1.337331</v>
      </c>
      <c r="E4" s="30" t="s">
        <v>164</v>
      </c>
    </row>
    <row r="5" spans="1:5" x14ac:dyDescent="0.35">
      <c r="A5" s="29" t="s">
        <v>172</v>
      </c>
      <c r="B5" s="29" t="s">
        <v>130</v>
      </c>
      <c r="C5" s="29">
        <v>7.1620000000000002E-6</v>
      </c>
      <c r="D5" s="29">
        <f>0.2*C5</f>
        <v>1.4324E-6</v>
      </c>
      <c r="E5" s="30" t="s">
        <v>163</v>
      </c>
    </row>
    <row r="6" spans="1:5" x14ac:dyDescent="0.35">
      <c r="A6" s="29" t="s">
        <v>173</v>
      </c>
      <c r="B6" s="29" t="s">
        <v>131</v>
      </c>
      <c r="C6" s="29">
        <v>3.1046</v>
      </c>
      <c r="D6" s="29">
        <f>0.2*C6</f>
        <v>0.62092000000000003</v>
      </c>
      <c r="E6" s="30" t="s">
        <v>163</v>
      </c>
    </row>
    <row r="7" spans="1:5" ht="43.5" x14ac:dyDescent="0.35">
      <c r="A7" s="29" t="s">
        <v>174</v>
      </c>
      <c r="B7" s="29" t="s">
        <v>27</v>
      </c>
      <c r="C7" s="29">
        <f>growth!B9</f>
        <v>336.68333333333334</v>
      </c>
      <c r="D7" s="29">
        <f>growth!C9</f>
        <v>33.978936612750758</v>
      </c>
      <c r="E7" s="30" t="s">
        <v>181</v>
      </c>
    </row>
    <row r="8" spans="1:5" ht="43.5" x14ac:dyDescent="0.35">
      <c r="A8" s="29" t="s">
        <v>175</v>
      </c>
      <c r="B8" s="29" t="s">
        <v>58</v>
      </c>
      <c r="C8" s="29">
        <f>growth!B10</f>
        <v>6.321333333333333E-2</v>
      </c>
      <c r="D8" s="29">
        <f>growth!C10</f>
        <v>4.8409446736492806E-2</v>
      </c>
      <c r="E8" s="30" t="s">
        <v>166</v>
      </c>
    </row>
    <row r="9" spans="1:5" ht="43.5" x14ac:dyDescent="0.35">
      <c r="A9" s="29" t="s">
        <v>97</v>
      </c>
      <c r="B9" s="29" t="s">
        <v>59</v>
      </c>
      <c r="C9" s="29">
        <f>growth!B11</f>
        <v>-2.5086666666666666</v>
      </c>
      <c r="D9" s="29">
        <f>growth!C11</f>
        <v>2.1725692931028306</v>
      </c>
      <c r="E9" s="30" t="s">
        <v>166</v>
      </c>
    </row>
    <row r="10" spans="1:5" x14ac:dyDescent="0.35">
      <c r="A10" s="29" t="s">
        <v>176</v>
      </c>
      <c r="B10" s="29" t="s">
        <v>72</v>
      </c>
      <c r="C10" s="29">
        <v>1846990</v>
      </c>
      <c r="D10" s="29">
        <f>0.2*C10</f>
        <v>369398</v>
      </c>
      <c r="E10" s="30" t="s">
        <v>163</v>
      </c>
    </row>
    <row r="11" spans="1:5" x14ac:dyDescent="0.35">
      <c r="A11" s="29" t="s">
        <v>177</v>
      </c>
      <c r="B11" s="29" t="s">
        <v>70</v>
      </c>
      <c r="C11" s="29">
        <v>77.406999999999996</v>
      </c>
      <c r="D11" s="29">
        <f t="shared" ref="D11:D16" si="0">0.2*C11</f>
        <v>15.481400000000001</v>
      </c>
      <c r="E11" s="30" t="s">
        <v>163</v>
      </c>
    </row>
    <row r="12" spans="1:5" x14ac:dyDescent="0.35">
      <c r="A12" s="29" t="s">
        <v>178</v>
      </c>
      <c r="B12" s="29" t="s">
        <v>71</v>
      </c>
      <c r="C12" s="29">
        <v>4.6369999999999996</v>
      </c>
      <c r="D12" s="29">
        <f t="shared" si="0"/>
        <v>0.9274</v>
      </c>
      <c r="E12" s="30" t="s">
        <v>163</v>
      </c>
    </row>
    <row r="13" spans="1:5" x14ac:dyDescent="0.35">
      <c r="A13" s="29"/>
      <c r="B13" s="29" t="s">
        <v>73</v>
      </c>
      <c r="C13" s="29">
        <v>1</v>
      </c>
      <c r="D13" s="29">
        <f t="shared" si="0"/>
        <v>0.2</v>
      </c>
      <c r="E13" s="30" t="s">
        <v>163</v>
      </c>
    </row>
    <row r="14" spans="1:5" x14ac:dyDescent="0.35">
      <c r="A14" s="29" t="s">
        <v>179</v>
      </c>
      <c r="B14" s="29" t="s">
        <v>81</v>
      </c>
      <c r="C14" s="29">
        <v>2.6</v>
      </c>
      <c r="D14" s="29">
        <f t="shared" si="0"/>
        <v>0.52</v>
      </c>
      <c r="E14" s="30" t="s">
        <v>163</v>
      </c>
    </row>
    <row r="15" spans="1:5" x14ac:dyDescent="0.35">
      <c r="A15" s="29" t="s">
        <v>180</v>
      </c>
      <c r="B15" s="29" t="s">
        <v>182</v>
      </c>
      <c r="C15" s="29">
        <v>212</v>
      </c>
      <c r="D15" s="29">
        <f t="shared" si="0"/>
        <v>42.400000000000006</v>
      </c>
      <c r="E15" s="30" t="s">
        <v>163</v>
      </c>
    </row>
    <row r="16" spans="1:5" x14ac:dyDescent="0.35">
      <c r="A16" s="29" t="s">
        <v>183</v>
      </c>
      <c r="B16" s="29" t="s">
        <v>184</v>
      </c>
      <c r="C16" s="29">
        <v>5.6956799999999999E-9</v>
      </c>
      <c r="D16" s="29">
        <f t="shared" si="0"/>
        <v>1.139136E-9</v>
      </c>
      <c r="E16" s="30" t="s">
        <v>163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Sheet1</vt:lpstr>
      <vt:lpstr>Derivation</vt:lpstr>
      <vt:lpstr>growth</vt:lpstr>
      <vt:lpstr>variability in LH</vt:lpstr>
      <vt:lpstr>Publication Table of Variance</vt:lpstr>
      <vt:lpstr>Alpha_s</vt:lpstr>
      <vt:lpstr>Alpha_s_Tay</vt:lpstr>
      <vt:lpstr>Bfa</vt:lpstr>
      <vt:lpstr>BFb</vt:lpstr>
      <vt:lpstr>BFConstant</vt:lpstr>
      <vt:lpstr>E0</vt:lpstr>
      <vt:lpstr>E0_tay</vt:lpstr>
      <vt:lpstr>h_t</vt:lpstr>
      <vt:lpstr>hr</vt:lpstr>
      <vt:lpstr>hs</vt:lpstr>
      <vt:lpstr>length_a</vt:lpstr>
      <vt:lpstr>length_b</vt:lpstr>
      <vt:lpstr>LS</vt:lpstr>
      <vt:lpstr>mat_a</vt:lpstr>
      <vt:lpstr>mat_slope</vt:lpstr>
      <vt:lpstr>mort</vt:lpstr>
      <vt:lpstr>N0</vt:lpstr>
      <vt:lpstr>N0_tay</vt:lpstr>
      <vt:lpstr>NS</vt:lpstr>
      <vt:lpstr>ParChange</vt:lpstr>
      <vt:lpstr>R0</vt:lpstr>
      <vt:lpstr>RealizedFecFactor</vt:lpstr>
      <vt:lpstr>Se</vt:lpstr>
      <vt:lpstr>SPR0</vt:lpstr>
      <vt:lpstr>SPR0_tay</vt:lpstr>
      <vt:lpstr>vLinf</vt:lpstr>
      <vt:lpstr>vonK</vt:lpstr>
      <vt:lpstr>vtto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Taylor</dc:creator>
  <cp:lastModifiedBy>Adrian Hordyk</cp:lastModifiedBy>
  <cp:lastPrinted>2022-06-18T09:50:49Z</cp:lastPrinted>
  <dcterms:created xsi:type="dcterms:W3CDTF">2022-06-09T13:23:18Z</dcterms:created>
  <dcterms:modified xsi:type="dcterms:W3CDTF">2024-07-11T23:23:44Z</dcterms:modified>
</cp:coreProperties>
</file>