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U:\Kenya_model_Feb20\HHCoM\Config\"/>
    </mc:Choice>
  </mc:AlternateContent>
  <bookViews>
    <workbookView xWindow="0" yWindow="0" windowWidth="14400" windowHeight="4770" tabRatio="835" firstSheet="2" activeTab="8"/>
  </bookViews>
  <sheets>
    <sheet name="Population" sheetId="10" r:id="rId1"/>
    <sheet name="Sexual behavior" sheetId="4" r:id="rId2"/>
    <sheet name="Circumcision" sheetId="8" r:id="rId3"/>
    <sheet name="Fertility" sheetId="5" r:id="rId4"/>
    <sheet name="Mortality" sheetId="7" r:id="rId5"/>
    <sheet name="HPV prevalence" sheetId="9" r:id="rId6"/>
    <sheet name="CIN prevalence" sheetId="15" r:id="rId7"/>
    <sheet name="Screening" sheetId="2" r:id="rId8"/>
    <sheet name="CC prevalence" sheetId="3" r:id="rId9"/>
    <sheet name="HIV prevalence" sheetId="11" r:id="rId10"/>
    <sheet name="HIV mortality" sheetId="16" r:id="rId11"/>
    <sheet name="HIV testing " sheetId="6" r:id="rId12"/>
    <sheet name="ART" sheetId="12" r:id="rId13"/>
    <sheet name="CD4" sheetId="13" r:id="rId14"/>
    <sheet name="MTCT" sheetId="14" r:id="rId15"/>
    <sheet name="DALY" sheetId="1" r:id="rId1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1" i="11" l="1"/>
  <c r="E71" i="11"/>
  <c r="D71" i="11"/>
  <c r="X6" i="11"/>
  <c r="X5" i="11"/>
  <c r="P71" i="11" l="1"/>
  <c r="O71" i="11"/>
  <c r="E13" i="11"/>
  <c r="D13" i="11"/>
  <c r="K213" i="11"/>
  <c r="G29" i="11"/>
  <c r="F29" i="11"/>
  <c r="I45" i="11"/>
  <c r="H45" i="11"/>
  <c r="V71" i="11"/>
  <c r="U71" i="11"/>
  <c r="O198" i="10"/>
  <c r="N198" i="10"/>
  <c r="D229" i="10"/>
  <c r="I76" i="4"/>
  <c r="E228" i="10"/>
  <c r="E231" i="10"/>
  <c r="E225" i="10"/>
  <c r="E230" i="10"/>
  <c r="E224" i="10"/>
  <c r="E229" i="10"/>
  <c r="E223" i="10"/>
  <c r="E222" i="10"/>
  <c r="C229" i="10"/>
  <c r="D223" i="10"/>
  <c r="C223" i="10"/>
  <c r="E57" i="10"/>
  <c r="E53" i="10"/>
  <c r="E55" i="10"/>
  <c r="E56" i="10"/>
  <c r="G185" i="11"/>
  <c r="G186" i="11"/>
  <c r="G187" i="11"/>
  <c r="G188" i="11"/>
  <c r="G189" i="11"/>
  <c r="G190" i="11"/>
  <c r="G191" i="11"/>
  <c r="G192" i="11"/>
  <c r="G193" i="11"/>
  <c r="G194" i="11"/>
  <c r="G195" i="11"/>
  <c r="G196" i="11"/>
  <c r="G197" i="11"/>
  <c r="G198" i="11"/>
  <c r="G199" i="11"/>
  <c r="G200" i="11"/>
  <c r="G201" i="11"/>
  <c r="G202" i="11"/>
  <c r="G203" i="11"/>
  <c r="G204" i="11"/>
  <c r="G205" i="11"/>
  <c r="G206" i="11"/>
  <c r="G207" i="11"/>
  <c r="G208" i="11"/>
  <c r="G209" i="11"/>
  <c r="G210" i="11"/>
  <c r="G211" i="11"/>
  <c r="G212" i="11"/>
  <c r="G184" i="11"/>
  <c r="J118" i="7"/>
  <c r="J114" i="7"/>
  <c r="V153" i="5"/>
  <c r="V152" i="5"/>
  <c r="V151" i="5"/>
  <c r="V150" i="5"/>
  <c r="V149" i="5"/>
  <c r="V148" i="5"/>
  <c r="V147" i="5"/>
  <c r="P153" i="5"/>
  <c r="P152" i="5"/>
  <c r="P151" i="5"/>
  <c r="P150" i="5"/>
  <c r="P149" i="5"/>
  <c r="P148" i="5"/>
  <c r="P147" i="5"/>
  <c r="D147" i="5"/>
  <c r="E147" i="5"/>
  <c r="F147" i="5"/>
  <c r="G147" i="5"/>
  <c r="H147" i="5"/>
  <c r="I147" i="5"/>
  <c r="J147" i="5"/>
  <c r="K147" i="5"/>
  <c r="L147" i="5"/>
  <c r="D148" i="5"/>
  <c r="E148" i="5"/>
  <c r="F148" i="5"/>
  <c r="G148" i="5"/>
  <c r="H148" i="5"/>
  <c r="I148" i="5"/>
  <c r="J148" i="5"/>
  <c r="K148" i="5"/>
  <c r="L148" i="5"/>
  <c r="D149" i="5"/>
  <c r="E149" i="5"/>
  <c r="F149" i="5"/>
  <c r="G149" i="5"/>
  <c r="H149" i="5"/>
  <c r="I149" i="5"/>
  <c r="J149" i="5"/>
  <c r="K149" i="5"/>
  <c r="L149" i="5"/>
  <c r="D150" i="5"/>
  <c r="E150" i="5"/>
  <c r="F150" i="5"/>
  <c r="G150" i="5"/>
  <c r="H150" i="5"/>
  <c r="I150" i="5"/>
  <c r="J150" i="5"/>
  <c r="K150" i="5"/>
  <c r="L150" i="5"/>
  <c r="D151" i="5"/>
  <c r="E151" i="5"/>
  <c r="F151" i="5"/>
  <c r="G151" i="5"/>
  <c r="H151" i="5"/>
  <c r="I151" i="5"/>
  <c r="J151" i="5"/>
  <c r="K151" i="5"/>
  <c r="L151" i="5"/>
  <c r="D152" i="5"/>
  <c r="E152" i="5"/>
  <c r="F152" i="5"/>
  <c r="G152" i="5"/>
  <c r="H152" i="5"/>
  <c r="I152" i="5"/>
  <c r="J152" i="5"/>
  <c r="K152" i="5"/>
  <c r="L152" i="5"/>
  <c r="D153" i="5"/>
  <c r="E153" i="5"/>
  <c r="F153" i="5"/>
  <c r="G153" i="5"/>
  <c r="H153" i="5"/>
  <c r="I153" i="5"/>
  <c r="J153" i="5"/>
  <c r="K153" i="5"/>
  <c r="L153" i="5"/>
  <c r="C153" i="5"/>
  <c r="C152" i="5"/>
  <c r="C151" i="5"/>
  <c r="C150" i="5"/>
  <c r="C149" i="5"/>
  <c r="C147" i="5"/>
  <c r="C148" i="5"/>
  <c r="E118" i="7"/>
  <c r="E119" i="7"/>
  <c r="E114" i="7"/>
  <c r="S118" i="7"/>
  <c r="S114" i="7"/>
  <c r="O114" i="7"/>
  <c r="O118" i="7"/>
  <c r="M123" i="7"/>
  <c r="M124" i="7" s="1"/>
  <c r="J68" i="7"/>
  <c r="J67" i="7"/>
  <c r="J66" i="7"/>
  <c r="B132" i="7"/>
  <c r="B131" i="7"/>
  <c r="B130" i="7"/>
  <c r="I73" i="7"/>
  <c r="I74" i="7"/>
  <c r="I75" i="7"/>
  <c r="I76" i="7"/>
  <c r="I77" i="7"/>
  <c r="I78" i="7"/>
  <c r="I79" i="7"/>
  <c r="I80" i="7"/>
  <c r="I81" i="7"/>
  <c r="I82" i="7"/>
  <c r="I83" i="7"/>
  <c r="I84" i="7"/>
  <c r="I85" i="7"/>
  <c r="I86" i="7"/>
  <c r="I87" i="7"/>
  <c r="I88" i="7"/>
  <c r="I89" i="7"/>
  <c r="I72" i="7"/>
  <c r="E73" i="7"/>
  <c r="E74" i="7"/>
  <c r="E75" i="7"/>
  <c r="E76" i="7"/>
  <c r="E77" i="7"/>
  <c r="E78" i="7"/>
  <c r="E79" i="7"/>
  <c r="E80" i="7"/>
  <c r="E81" i="7"/>
  <c r="E82" i="7"/>
  <c r="E83" i="7"/>
  <c r="E84" i="7"/>
  <c r="E85" i="7"/>
  <c r="E86" i="7"/>
  <c r="E87" i="7"/>
  <c r="E88" i="7"/>
  <c r="E89" i="7"/>
  <c r="E72" i="7"/>
  <c r="J62" i="7"/>
  <c r="I62" i="7"/>
  <c r="J61" i="7"/>
  <c r="I61" i="7"/>
  <c r="F31" i="5" l="1"/>
  <c r="F32" i="5"/>
  <c r="F33" i="5"/>
  <c r="F34" i="5"/>
  <c r="F35" i="5"/>
  <c r="F36" i="5"/>
  <c r="F37" i="5"/>
  <c r="F30" i="5"/>
  <c r="E219" i="10"/>
  <c r="E213" i="10"/>
  <c r="E218" i="10"/>
  <c r="E212" i="10"/>
  <c r="E217" i="10"/>
  <c r="E211" i="10"/>
  <c r="E216" i="10"/>
  <c r="E210" i="10"/>
  <c r="D217" i="10"/>
  <c r="C217" i="10"/>
  <c r="C205" i="10"/>
  <c r="E207" i="10"/>
  <c r="E206" i="10"/>
  <c r="E205" i="10"/>
  <c r="E204" i="10"/>
  <c r="E201" i="10"/>
  <c r="E200" i="10"/>
  <c r="E199" i="10"/>
  <c r="E198" i="10"/>
  <c r="D211" i="10"/>
  <c r="C211" i="10"/>
  <c r="D205" i="10"/>
  <c r="D199" i="10"/>
  <c r="C199" i="10"/>
  <c r="O43" i="8" l="1"/>
  <c r="O44" i="8"/>
  <c r="O45" i="8"/>
  <c r="O42" i="8"/>
  <c r="O41" i="8"/>
  <c r="O40" i="8"/>
  <c r="L20" i="8"/>
  <c r="L21" i="8"/>
  <c r="L19" i="8"/>
  <c r="O9" i="8"/>
  <c r="O8" i="8"/>
  <c r="O7" i="8"/>
  <c r="O6" i="8"/>
  <c r="O5" i="8"/>
  <c r="O4" i="8"/>
  <c r="D107" i="5"/>
  <c r="O194" i="10"/>
  <c r="O193" i="10"/>
  <c r="O192" i="10"/>
  <c r="O191" i="10"/>
  <c r="O190" i="10"/>
  <c r="O189" i="10"/>
  <c r="O188" i="10"/>
  <c r="N194" i="10"/>
  <c r="N193" i="10"/>
  <c r="N192" i="10"/>
  <c r="N191" i="10"/>
  <c r="N190" i="10"/>
  <c r="N189" i="10"/>
  <c r="N188" i="10"/>
  <c r="M194" i="10"/>
  <c r="M193" i="10"/>
  <c r="M192" i="10"/>
  <c r="M191" i="10"/>
  <c r="M190" i="10"/>
  <c r="M189" i="10"/>
  <c r="M188" i="10"/>
  <c r="L194" i="10"/>
  <c r="L192" i="10"/>
  <c r="L193" i="10"/>
  <c r="L191" i="10"/>
  <c r="L190" i="10"/>
  <c r="L189" i="10"/>
  <c r="L188" i="10"/>
  <c r="K194" i="10"/>
  <c r="K193" i="10"/>
  <c r="K192" i="10"/>
  <c r="K191" i="10"/>
  <c r="K190" i="10"/>
  <c r="K189" i="10"/>
  <c r="K188" i="10"/>
  <c r="J194" i="10"/>
  <c r="J193" i="10"/>
  <c r="J192" i="10"/>
  <c r="J191" i="10"/>
  <c r="J190" i="10"/>
  <c r="J189" i="10"/>
  <c r="J188" i="10"/>
  <c r="I194" i="10"/>
  <c r="I193" i="10"/>
  <c r="I192" i="10"/>
  <c r="I191" i="10"/>
  <c r="I190" i="10"/>
  <c r="I189" i="10"/>
  <c r="I188" i="10"/>
  <c r="O184" i="10" l="1"/>
  <c r="N184" i="10"/>
  <c r="M184" i="10"/>
  <c r="L184" i="10"/>
  <c r="K184" i="10"/>
  <c r="J184" i="10"/>
  <c r="I184" i="10"/>
  <c r="O183" i="10"/>
  <c r="N183" i="10"/>
  <c r="M183" i="10"/>
  <c r="L183" i="10"/>
  <c r="K183" i="10"/>
  <c r="J183" i="10"/>
  <c r="I183" i="10"/>
  <c r="O182" i="10"/>
  <c r="N182" i="10"/>
  <c r="M182" i="10"/>
  <c r="L182" i="10"/>
  <c r="K182" i="10"/>
  <c r="J182" i="10"/>
  <c r="I182" i="10"/>
  <c r="O181" i="10"/>
  <c r="N181" i="10"/>
  <c r="M181" i="10"/>
  <c r="L181" i="10"/>
  <c r="K181" i="10"/>
  <c r="J181" i="10"/>
  <c r="I181" i="10"/>
  <c r="O180" i="10"/>
  <c r="N180" i="10"/>
  <c r="M180" i="10"/>
  <c r="L180" i="10"/>
  <c r="K180" i="10"/>
  <c r="J180" i="10"/>
  <c r="I180" i="10"/>
  <c r="O179" i="10"/>
  <c r="N179" i="10"/>
  <c r="M179" i="10"/>
  <c r="L179" i="10"/>
  <c r="K179" i="10"/>
  <c r="J179" i="10"/>
  <c r="I179" i="10"/>
  <c r="O178" i="10"/>
  <c r="N178" i="10"/>
  <c r="M178" i="10"/>
  <c r="L178" i="10"/>
  <c r="K178" i="10"/>
  <c r="J178" i="10"/>
  <c r="I178" i="10"/>
  <c r="O171" i="10"/>
  <c r="I172" i="10"/>
  <c r="I171" i="10"/>
  <c r="I170" i="10"/>
  <c r="I169" i="10"/>
  <c r="I118" i="7" l="1"/>
  <c r="I119" i="7" s="1"/>
  <c r="I115" i="7"/>
  <c r="AE112" i="5"/>
  <c r="AE110" i="5"/>
  <c r="O170" i="10" l="1"/>
  <c r="N170" i="10"/>
  <c r="M170" i="10"/>
  <c r="L170" i="10"/>
  <c r="K170" i="10"/>
  <c r="J170" i="10"/>
  <c r="O169" i="10"/>
  <c r="N169" i="10"/>
  <c r="M169" i="10"/>
  <c r="L169" i="10"/>
  <c r="K169" i="10"/>
  <c r="J169" i="10"/>
  <c r="N173" i="10"/>
  <c r="L173" i="10"/>
  <c r="K173" i="10"/>
  <c r="J173" i="10"/>
  <c r="I173" i="10"/>
  <c r="O172" i="10"/>
  <c r="N172" i="10"/>
  <c r="M172" i="10"/>
  <c r="L172" i="10"/>
  <c r="K172" i="10"/>
  <c r="J172" i="10"/>
  <c r="N171" i="10"/>
  <c r="M171" i="10"/>
  <c r="L171" i="10"/>
  <c r="K171" i="10"/>
  <c r="J171" i="10"/>
  <c r="O174" i="10"/>
  <c r="N174" i="10"/>
  <c r="M174" i="10"/>
  <c r="L174" i="10"/>
  <c r="K174" i="10"/>
  <c r="J174" i="10"/>
  <c r="I174" i="10"/>
  <c r="O173" i="10"/>
  <c r="M173" i="10"/>
  <c r="L100" i="4"/>
  <c r="N100" i="4"/>
  <c r="M100" i="4"/>
  <c r="O175" i="10"/>
  <c r="N175" i="10"/>
  <c r="M175" i="10"/>
  <c r="L175" i="10"/>
  <c r="K175" i="10"/>
  <c r="J175" i="10"/>
  <c r="I175" i="10"/>
  <c r="N119" i="7"/>
  <c r="P94" i="7" s="1"/>
  <c r="N115" i="7"/>
  <c r="N98" i="4"/>
  <c r="M98" i="4"/>
  <c r="N97" i="4"/>
  <c r="M97" i="4"/>
  <c r="N99" i="4"/>
  <c r="M99" i="4"/>
  <c r="F123" i="7"/>
  <c r="G123" i="7" s="1"/>
  <c r="E123" i="7"/>
  <c r="D122" i="7"/>
  <c r="E122" i="7" s="1"/>
  <c r="F122" i="7" s="1"/>
  <c r="G122" i="7" s="1"/>
  <c r="D119" i="7"/>
  <c r="D115" i="7"/>
  <c r="H127" i="7" l="1"/>
  <c r="I127" i="7" s="1"/>
  <c r="H122" i="7"/>
  <c r="I122" i="7" s="1"/>
  <c r="L94" i="7"/>
  <c r="O94" i="7"/>
  <c r="K94" i="7"/>
  <c r="L99" i="4"/>
  <c r="L98" i="4"/>
  <c r="L97" i="4"/>
  <c r="J76" i="16"/>
  <c r="J77" i="16"/>
  <c r="J78" i="16"/>
  <c r="J79" i="16"/>
  <c r="J80" i="16"/>
  <c r="J81" i="16"/>
  <c r="J75" i="16"/>
  <c r="I76" i="16"/>
  <c r="I77" i="16"/>
  <c r="I78" i="16"/>
  <c r="I79" i="16"/>
  <c r="I80" i="16"/>
  <c r="I81" i="16"/>
  <c r="I75" i="16"/>
  <c r="F65" i="16"/>
  <c r="G65" i="16"/>
  <c r="H65" i="16"/>
  <c r="F66" i="16"/>
  <c r="G66" i="16"/>
  <c r="H66" i="16"/>
  <c r="F67" i="16"/>
  <c r="G67" i="16"/>
  <c r="H67" i="16"/>
  <c r="F68" i="16"/>
  <c r="G68" i="16"/>
  <c r="H68" i="16"/>
  <c r="F69" i="16"/>
  <c r="G69" i="16"/>
  <c r="H69" i="16"/>
  <c r="G64" i="16"/>
  <c r="H64" i="16"/>
  <c r="F64" i="16"/>
  <c r="J160" i="4" l="1"/>
  <c r="F178" i="4"/>
  <c r="N224" i="9"/>
  <c r="C216" i="9"/>
  <c r="I28" i="12"/>
  <c r="I29" i="12"/>
  <c r="I30" i="12"/>
  <c r="I31" i="12"/>
  <c r="I27" i="12"/>
  <c r="K103" i="12" l="1"/>
  <c r="K102" i="12"/>
  <c r="K101" i="12"/>
  <c r="K100" i="12"/>
  <c r="J103" i="12"/>
  <c r="J102" i="12"/>
  <c r="J101" i="12"/>
  <c r="J100" i="12"/>
  <c r="G56" i="12" l="1"/>
  <c r="F45" i="12"/>
  <c r="G37" i="12"/>
  <c r="G38" i="12"/>
  <c r="G39" i="12"/>
  <c r="G40" i="12"/>
  <c r="G41" i="12"/>
  <c r="G36" i="12"/>
  <c r="E190" i="12"/>
  <c r="E191" i="12"/>
  <c r="E192" i="12"/>
  <c r="E193" i="12"/>
  <c r="E194" i="12"/>
  <c r="E189" i="12"/>
  <c r="E28" i="12"/>
  <c r="E29" i="12"/>
  <c r="E30" i="12"/>
  <c r="E31" i="12"/>
  <c r="E27" i="12"/>
  <c r="D136" i="12" l="1"/>
  <c r="E136" i="12" s="1"/>
  <c r="D135" i="12"/>
  <c r="E135" i="12" s="1"/>
  <c r="D134" i="12"/>
  <c r="E134" i="12" s="1"/>
  <c r="G108" i="12"/>
  <c r="I20" i="12" l="1"/>
  <c r="I18" i="12"/>
  <c r="D56" i="12"/>
  <c r="C56" i="12"/>
  <c r="E52" i="12"/>
  <c r="E53" i="12"/>
  <c r="E54" i="12"/>
  <c r="E55" i="12"/>
  <c r="E51" i="12"/>
  <c r="E50" i="12"/>
  <c r="E56" i="12" l="1"/>
  <c r="D101" i="5"/>
  <c r="E101" i="5"/>
  <c r="F101" i="5"/>
  <c r="G101" i="5"/>
  <c r="H101" i="5"/>
  <c r="I101" i="5"/>
  <c r="J101" i="5"/>
  <c r="K101" i="5"/>
  <c r="L101" i="5"/>
  <c r="M101" i="5"/>
  <c r="N101" i="5"/>
  <c r="O101" i="5"/>
  <c r="P101" i="5"/>
  <c r="Q101" i="5"/>
  <c r="R101" i="5"/>
  <c r="S101" i="5"/>
  <c r="T101" i="5"/>
  <c r="U101" i="5"/>
  <c r="V101" i="5"/>
  <c r="W101" i="5"/>
  <c r="X101" i="5"/>
  <c r="Y101" i="5"/>
  <c r="Z101" i="5"/>
  <c r="AA101" i="5"/>
  <c r="AB101" i="5"/>
  <c r="AC101" i="5"/>
  <c r="AD101" i="5"/>
  <c r="AE101" i="5"/>
  <c r="AF101" i="5"/>
  <c r="C101" i="5"/>
  <c r="N82" i="4"/>
  <c r="N81" i="4"/>
  <c r="N79" i="4"/>
  <c r="N78" i="4"/>
  <c r="D113" i="5"/>
  <c r="D112" i="5"/>
  <c r="D111" i="5"/>
  <c r="D110" i="5"/>
  <c r="D109" i="5"/>
  <c r="D108" i="5"/>
  <c r="W107" i="5"/>
  <c r="W106" i="5"/>
  <c r="H94" i="7"/>
  <c r="G94" i="7"/>
  <c r="D94" i="7"/>
  <c r="C94" i="7"/>
  <c r="F113" i="5" l="1"/>
  <c r="I112" i="5"/>
  <c r="H111" i="5"/>
  <c r="I110" i="5"/>
  <c r="I109" i="5"/>
  <c r="I108" i="5"/>
  <c r="I107" i="5"/>
  <c r="I119" i="5"/>
  <c r="H119" i="5"/>
  <c r="G119" i="5"/>
  <c r="F119" i="5"/>
  <c r="E119" i="5"/>
  <c r="I118" i="5"/>
  <c r="H118" i="5"/>
  <c r="G118" i="5"/>
  <c r="F118" i="5"/>
  <c r="E118" i="5"/>
  <c r="I117" i="5"/>
  <c r="H117" i="5"/>
  <c r="G117" i="5"/>
  <c r="F117" i="5"/>
  <c r="E117" i="5"/>
  <c r="I116" i="5"/>
  <c r="H116" i="5"/>
  <c r="G116" i="5"/>
  <c r="F116" i="5"/>
  <c r="E116" i="5"/>
  <c r="I115" i="5"/>
  <c r="H115" i="5"/>
  <c r="G115" i="5"/>
  <c r="F115" i="5"/>
  <c r="E115" i="5"/>
  <c r="I114" i="5"/>
  <c r="H114" i="5"/>
  <c r="G114" i="5"/>
  <c r="F114" i="5"/>
  <c r="E114" i="5"/>
  <c r="I111" i="5"/>
  <c r="G111" i="5"/>
  <c r="F111" i="5"/>
  <c r="F109" i="5"/>
  <c r="E109" i="5"/>
  <c r="D106" i="5"/>
  <c r="I105" i="5"/>
  <c r="H105" i="5"/>
  <c r="G105" i="5"/>
  <c r="F105" i="5"/>
  <c r="E105" i="5"/>
  <c r="J105" i="5" s="1"/>
  <c r="I104" i="5"/>
  <c r="H104" i="5"/>
  <c r="G104" i="5"/>
  <c r="F104" i="5"/>
  <c r="E104" i="5"/>
  <c r="J104" i="5" s="1"/>
  <c r="H106" i="5" l="1"/>
  <c r="D121" i="5"/>
  <c r="I106" i="5"/>
  <c r="E106" i="5"/>
  <c r="J106" i="5" s="1"/>
  <c r="F106" i="5"/>
  <c r="G106" i="5"/>
  <c r="E113" i="5"/>
  <c r="I113" i="5"/>
  <c r="G113" i="5"/>
  <c r="G110" i="5"/>
  <c r="E110" i="5"/>
  <c r="H110" i="5"/>
  <c r="F110" i="5"/>
  <c r="G109" i="5"/>
  <c r="F107" i="5"/>
  <c r="G107" i="5"/>
  <c r="H107" i="5"/>
  <c r="E112" i="5"/>
  <c r="F108" i="5"/>
  <c r="H109" i="5"/>
  <c r="F112" i="5"/>
  <c r="H113" i="5"/>
  <c r="E108" i="5"/>
  <c r="E107" i="5"/>
  <c r="G108" i="5"/>
  <c r="E111" i="5"/>
  <c r="G112" i="5"/>
  <c r="H108" i="5"/>
  <c r="H112" i="5"/>
  <c r="E16" i="15"/>
  <c r="E17" i="15"/>
  <c r="E15" i="15"/>
  <c r="J47" i="9"/>
  <c r="H43" i="9"/>
  <c r="H44" i="9"/>
  <c r="H45" i="9"/>
  <c r="H46" i="9"/>
  <c r="H47" i="9"/>
  <c r="H42" i="9"/>
  <c r="Q82" i="4" l="1"/>
  <c r="Q81" i="4"/>
  <c r="Q79" i="4"/>
  <c r="Q78" i="4"/>
  <c r="F39" i="16" l="1"/>
  <c r="F38" i="16"/>
  <c r="F37" i="16"/>
  <c r="F36" i="16"/>
  <c r="E39" i="16"/>
  <c r="E38" i="16"/>
  <c r="E37" i="16"/>
  <c r="E36" i="16"/>
  <c r="D39" i="16"/>
  <c r="D38" i="16"/>
  <c r="D37" i="16"/>
  <c r="D36" i="16"/>
  <c r="C39" i="16"/>
  <c r="C38" i="16"/>
  <c r="C37" i="16"/>
  <c r="C36" i="16"/>
  <c r="E51" i="16" l="1"/>
  <c r="E50" i="16"/>
  <c r="E49" i="16"/>
  <c r="C52" i="16"/>
  <c r="C51" i="16"/>
  <c r="C50" i="16"/>
  <c r="C49" i="16"/>
  <c r="C48" i="16"/>
  <c r="E48" i="16"/>
  <c r="R8" i="16"/>
  <c r="D49" i="14"/>
  <c r="D50" i="14" s="1"/>
  <c r="D51" i="14" s="1"/>
  <c r="H63" i="4"/>
  <c r="H60" i="4"/>
  <c r="F114" i="10" l="1"/>
  <c r="G114" i="10"/>
  <c r="G116" i="10"/>
  <c r="F115" i="10"/>
  <c r="E114" i="10"/>
  <c r="D114" i="10"/>
  <c r="I22" i="10"/>
  <c r="C198" i="10" s="1"/>
  <c r="H22" i="10"/>
  <c r="G115" i="10"/>
  <c r="G117" i="10"/>
  <c r="F116" i="10"/>
  <c r="F117" i="10"/>
  <c r="E117" i="10"/>
  <c r="E116" i="10"/>
  <c r="E115" i="10"/>
  <c r="D117" i="10"/>
  <c r="D116" i="10"/>
  <c r="D115" i="10"/>
  <c r="C115" i="10"/>
  <c r="D40" i="15"/>
  <c r="D39" i="15"/>
  <c r="C40" i="15"/>
  <c r="C39" i="15"/>
  <c r="C25" i="15"/>
  <c r="C24" i="15"/>
  <c r="C23" i="15"/>
  <c r="C22" i="15"/>
  <c r="D25" i="15"/>
  <c r="D24" i="15"/>
  <c r="D23" i="15"/>
  <c r="D22" i="15"/>
  <c r="C17" i="15"/>
  <c r="C16" i="15"/>
  <c r="C15" i="15"/>
  <c r="D17" i="15"/>
  <c r="D16" i="15"/>
  <c r="D15" i="15"/>
  <c r="K72" i="9"/>
  <c r="K73" i="9"/>
  <c r="C204" i="10" l="1"/>
  <c r="F191" i="4"/>
  <c r="F192" i="4"/>
  <c r="F193" i="4"/>
  <c r="F194" i="4"/>
  <c r="F195" i="4"/>
  <c r="F196" i="4"/>
  <c r="F197" i="4"/>
  <c r="F198" i="4"/>
  <c r="F199" i="4"/>
  <c r="F200" i="4"/>
  <c r="F201" i="4"/>
  <c r="F202" i="4"/>
  <c r="F203" i="4"/>
  <c r="E191" i="4"/>
  <c r="E192" i="4"/>
  <c r="E193" i="4"/>
  <c r="E194" i="4"/>
  <c r="E195" i="4"/>
  <c r="E196" i="4"/>
  <c r="E197" i="4"/>
  <c r="E198" i="4"/>
  <c r="E199" i="4"/>
  <c r="E200" i="4"/>
  <c r="E201" i="4"/>
  <c r="E202" i="4"/>
  <c r="E203" i="4"/>
  <c r="D191" i="4"/>
  <c r="D192" i="4"/>
  <c r="D193" i="4"/>
  <c r="D194" i="4"/>
  <c r="D195" i="4"/>
  <c r="D196" i="4"/>
  <c r="D197" i="4"/>
  <c r="D198" i="4"/>
  <c r="D199" i="4"/>
  <c r="D200" i="4"/>
  <c r="D201" i="4"/>
  <c r="D202" i="4"/>
  <c r="D203" i="4"/>
  <c r="F190" i="4"/>
  <c r="E190" i="4"/>
  <c r="D190" i="4"/>
  <c r="F171" i="4"/>
  <c r="F172" i="4"/>
  <c r="F173" i="4"/>
  <c r="F174" i="4"/>
  <c r="F175" i="4"/>
  <c r="F176" i="4"/>
  <c r="F177" i="4"/>
  <c r="F179" i="4"/>
  <c r="F180" i="4"/>
  <c r="F181" i="4"/>
  <c r="F182" i="4"/>
  <c r="F183" i="4"/>
  <c r="F170" i="4"/>
  <c r="E171" i="4"/>
  <c r="E172" i="4"/>
  <c r="E173" i="4"/>
  <c r="E174" i="4"/>
  <c r="E175" i="4"/>
  <c r="E176" i="4"/>
  <c r="E177" i="4"/>
  <c r="E178" i="4"/>
  <c r="E179" i="4"/>
  <c r="E180" i="4"/>
  <c r="E181" i="4"/>
  <c r="E182" i="4"/>
  <c r="E183" i="4"/>
  <c r="E170" i="4"/>
  <c r="D171" i="4"/>
  <c r="D172" i="4"/>
  <c r="D173" i="4"/>
  <c r="D174" i="4"/>
  <c r="D175" i="4"/>
  <c r="D176" i="4"/>
  <c r="D177" i="4"/>
  <c r="D178" i="4"/>
  <c r="D179" i="4"/>
  <c r="D180" i="4"/>
  <c r="D181" i="4"/>
  <c r="D182" i="4"/>
  <c r="D183" i="4"/>
  <c r="D170" i="4"/>
  <c r="AE43" i="5" l="1"/>
  <c r="AE44" i="5"/>
  <c r="AE45" i="5"/>
  <c r="AE46" i="5"/>
  <c r="AE47" i="5"/>
  <c r="AE48" i="5"/>
  <c r="AE49" i="5"/>
  <c r="AE50" i="5"/>
  <c r="AE51" i="5"/>
  <c r="AE52" i="5"/>
  <c r="AE53" i="5"/>
  <c r="AE54" i="5"/>
  <c r="AE55" i="5"/>
  <c r="AE56" i="5"/>
  <c r="AE57" i="5"/>
  <c r="AE42" i="5"/>
  <c r="AD43" i="5"/>
  <c r="AD44" i="5"/>
  <c r="AD45" i="5"/>
  <c r="AD46" i="5"/>
  <c r="AD47" i="5"/>
  <c r="AD48" i="5"/>
  <c r="AD49" i="5"/>
  <c r="AD50" i="5"/>
  <c r="AD51" i="5"/>
  <c r="AD52" i="5"/>
  <c r="AD53" i="5"/>
  <c r="AD54" i="5"/>
  <c r="AD55" i="5"/>
  <c r="AD56" i="5"/>
  <c r="AD57" i="5"/>
  <c r="AD42" i="5"/>
  <c r="AC43" i="5"/>
  <c r="AC44" i="5"/>
  <c r="AC45" i="5"/>
  <c r="AC46" i="5"/>
  <c r="AC47" i="5"/>
  <c r="AC48" i="5"/>
  <c r="AC49" i="5"/>
  <c r="AC50" i="5"/>
  <c r="AC51" i="5"/>
  <c r="AC52" i="5"/>
  <c r="AC53" i="5"/>
  <c r="AC54" i="5"/>
  <c r="AC55" i="5"/>
  <c r="AC56" i="5"/>
  <c r="AC57" i="5"/>
  <c r="AC42" i="5"/>
  <c r="AB43" i="5"/>
  <c r="AB44" i="5"/>
  <c r="AB45" i="5"/>
  <c r="AB46" i="5"/>
  <c r="AB47" i="5"/>
  <c r="AB48" i="5"/>
  <c r="AB49" i="5"/>
  <c r="AB50" i="5"/>
  <c r="AB51" i="5"/>
  <c r="AB52" i="5"/>
  <c r="AB53" i="5"/>
  <c r="AB54" i="5"/>
  <c r="AB55" i="5"/>
  <c r="AB56" i="5"/>
  <c r="AB57" i="5"/>
  <c r="AB42" i="5"/>
  <c r="AA43" i="5"/>
  <c r="AA44" i="5"/>
  <c r="AA45" i="5"/>
  <c r="AA46" i="5"/>
  <c r="AA47" i="5"/>
  <c r="AA48" i="5"/>
  <c r="AA49" i="5"/>
  <c r="AA50" i="5"/>
  <c r="AA51" i="5"/>
  <c r="AA52" i="5"/>
  <c r="AA53" i="5"/>
  <c r="AA54" i="5"/>
  <c r="AA55" i="5"/>
  <c r="AA56" i="5"/>
  <c r="AA57" i="5"/>
  <c r="AA42" i="5"/>
  <c r="S43" i="5"/>
  <c r="S42" i="5"/>
  <c r="W43" i="5"/>
  <c r="W44" i="5"/>
  <c r="W52" i="5"/>
  <c r="W53" i="5"/>
  <c r="W54" i="5"/>
  <c r="W55" i="5"/>
  <c r="W56" i="5"/>
  <c r="W57" i="5"/>
  <c r="W42" i="5"/>
  <c r="V43" i="5"/>
  <c r="V44" i="5"/>
  <c r="V52" i="5"/>
  <c r="V53" i="5"/>
  <c r="V54" i="5"/>
  <c r="V55" i="5"/>
  <c r="V56" i="5"/>
  <c r="V57" i="5"/>
  <c r="V42" i="5"/>
  <c r="U43" i="5"/>
  <c r="U44" i="5"/>
  <c r="U50" i="5"/>
  <c r="U52" i="5"/>
  <c r="U53" i="5"/>
  <c r="U54" i="5"/>
  <c r="U55" i="5"/>
  <c r="U56" i="5"/>
  <c r="U57" i="5"/>
  <c r="U42" i="5"/>
  <c r="T43" i="5"/>
  <c r="T44" i="5"/>
  <c r="T50" i="5"/>
  <c r="T51" i="5"/>
  <c r="T52" i="5"/>
  <c r="T53" i="5"/>
  <c r="T54" i="5"/>
  <c r="T55" i="5"/>
  <c r="T56" i="5"/>
  <c r="T57" i="5"/>
  <c r="T42" i="5"/>
  <c r="S52" i="5"/>
  <c r="S53" i="5"/>
  <c r="S54" i="5"/>
  <c r="S55" i="5"/>
  <c r="S56" i="5"/>
  <c r="S57" i="5"/>
  <c r="S44" i="5"/>
  <c r="W45" i="5"/>
  <c r="W46" i="5"/>
  <c r="S47" i="5"/>
  <c r="S48" i="5"/>
  <c r="W49" i="5"/>
  <c r="S50" i="5"/>
  <c r="S51" i="5"/>
  <c r="W50" i="5" l="1"/>
  <c r="V51" i="5"/>
  <c r="V50" i="5"/>
  <c r="V48" i="5"/>
  <c r="T48" i="5"/>
  <c r="U51" i="5"/>
  <c r="W51" i="5"/>
  <c r="U48" i="5"/>
  <c r="W48" i="5"/>
  <c r="S45" i="5"/>
  <c r="T47" i="5"/>
  <c r="U47" i="5"/>
  <c r="V47" i="5"/>
  <c r="W47" i="5"/>
  <c r="S46" i="5"/>
  <c r="T46" i="5"/>
  <c r="U46" i="5"/>
  <c r="V46" i="5"/>
  <c r="S49" i="5"/>
  <c r="T45" i="5"/>
  <c r="U45" i="5"/>
  <c r="V45" i="5"/>
  <c r="T49" i="5"/>
  <c r="U49" i="5"/>
  <c r="V49" i="5"/>
  <c r="M127" i="4"/>
  <c r="L127" i="4"/>
  <c r="M126" i="4"/>
  <c r="L126" i="4"/>
  <c r="M125" i="4"/>
  <c r="L125" i="4"/>
  <c r="F42" i="12" l="1"/>
  <c r="G42" i="12" s="1"/>
  <c r="L41" i="12"/>
  <c r="L38" i="12"/>
  <c r="L39" i="12"/>
  <c r="L40" i="12"/>
  <c r="L36" i="12"/>
  <c r="D42" i="12"/>
  <c r="C42" i="12"/>
  <c r="E42" i="12" s="1"/>
  <c r="E40" i="12"/>
  <c r="E41" i="12"/>
  <c r="E37" i="12"/>
  <c r="E38" i="12"/>
  <c r="E39" i="12"/>
  <c r="E36" i="12"/>
  <c r="J42" i="12" l="1"/>
  <c r="L37" i="12"/>
  <c r="K42" i="12"/>
  <c r="I43" i="5"/>
  <c r="I52" i="5"/>
  <c r="I53" i="5"/>
  <c r="I54" i="5"/>
  <c r="I55" i="5"/>
  <c r="I56" i="5"/>
  <c r="I57" i="5"/>
  <c r="I42" i="5"/>
  <c r="H43" i="5"/>
  <c r="H52" i="5"/>
  <c r="H53" i="5"/>
  <c r="H54" i="5"/>
  <c r="H55" i="5"/>
  <c r="H56" i="5"/>
  <c r="H57" i="5"/>
  <c r="H42" i="5"/>
  <c r="G43" i="5"/>
  <c r="G52" i="5"/>
  <c r="G53" i="5"/>
  <c r="G54" i="5"/>
  <c r="G55" i="5"/>
  <c r="G56" i="5"/>
  <c r="G57" i="5"/>
  <c r="G42" i="5"/>
  <c r="F43" i="5"/>
  <c r="F52" i="5"/>
  <c r="F53" i="5"/>
  <c r="F54" i="5"/>
  <c r="F55" i="5"/>
  <c r="F56" i="5"/>
  <c r="F57" i="5"/>
  <c r="F42" i="5"/>
  <c r="E43" i="5"/>
  <c r="E52" i="5"/>
  <c r="E53" i="5"/>
  <c r="E54" i="5"/>
  <c r="E55" i="5"/>
  <c r="E56" i="5"/>
  <c r="E57" i="5"/>
  <c r="E42" i="5"/>
  <c r="J5" i="10"/>
  <c r="J6" i="10"/>
  <c r="J7" i="10"/>
  <c r="J8" i="10"/>
  <c r="J9" i="10"/>
  <c r="J10" i="10"/>
  <c r="J11" i="10"/>
  <c r="J12" i="10"/>
  <c r="J13" i="10"/>
  <c r="J14" i="10"/>
  <c r="J15" i="10"/>
  <c r="J16" i="10"/>
  <c r="J17" i="10"/>
  <c r="J18" i="10"/>
  <c r="J19" i="10"/>
  <c r="J4" i="10"/>
  <c r="J22" i="10" l="1"/>
  <c r="L42" i="12"/>
  <c r="Q92" i="10"/>
  <c r="R92" i="10"/>
  <c r="Q93" i="10"/>
  <c r="R93" i="10"/>
  <c r="Q94" i="10"/>
  <c r="R94" i="10"/>
  <c r="Q95" i="10"/>
  <c r="R95" i="10"/>
  <c r="Q96" i="10"/>
  <c r="R96" i="10"/>
  <c r="Q97" i="10"/>
  <c r="R97" i="10"/>
  <c r="Q98" i="10"/>
  <c r="R98" i="10"/>
  <c r="Q99" i="10"/>
  <c r="R99" i="10"/>
  <c r="Q100" i="10"/>
  <c r="R100" i="10"/>
  <c r="Q101" i="10"/>
  <c r="R101" i="10"/>
  <c r="Q102" i="10"/>
  <c r="R102" i="10"/>
  <c r="Q103" i="10"/>
  <c r="R103" i="10"/>
  <c r="Q104" i="10"/>
  <c r="R104" i="10"/>
  <c r="Q105" i="10"/>
  <c r="R105" i="10"/>
  <c r="Q106" i="10"/>
  <c r="R106" i="10"/>
  <c r="Q107" i="10"/>
  <c r="R107" i="10"/>
  <c r="R91" i="10"/>
  <c r="Q91" i="10"/>
  <c r="R68" i="10"/>
  <c r="S68" i="10"/>
  <c r="R69" i="10"/>
  <c r="S69" i="10"/>
  <c r="R70" i="10"/>
  <c r="S70" i="10"/>
  <c r="R71" i="10"/>
  <c r="S71" i="10"/>
  <c r="R72" i="10"/>
  <c r="S72" i="10"/>
  <c r="R73" i="10"/>
  <c r="S73" i="10"/>
  <c r="R74" i="10"/>
  <c r="S74" i="10"/>
  <c r="R75" i="10"/>
  <c r="S75" i="10"/>
  <c r="R76" i="10"/>
  <c r="S76" i="10"/>
  <c r="R77" i="10"/>
  <c r="S77" i="10"/>
  <c r="R78" i="10"/>
  <c r="S78" i="10"/>
  <c r="R79" i="10"/>
  <c r="S79" i="10"/>
  <c r="R80" i="10"/>
  <c r="S80" i="10"/>
  <c r="R81" i="10"/>
  <c r="S81" i="10"/>
  <c r="R82" i="10"/>
  <c r="S82" i="10"/>
  <c r="R83" i="10"/>
  <c r="S83" i="10"/>
  <c r="S67" i="10"/>
  <c r="R67" i="10"/>
  <c r="R31" i="10"/>
  <c r="S31" i="10"/>
  <c r="R32" i="10"/>
  <c r="S32" i="10"/>
  <c r="R33" i="10"/>
  <c r="S33" i="10"/>
  <c r="R34" i="10"/>
  <c r="S34" i="10"/>
  <c r="R35" i="10"/>
  <c r="S35" i="10"/>
  <c r="R36" i="10"/>
  <c r="S36" i="10"/>
  <c r="R37" i="10"/>
  <c r="S37" i="10"/>
  <c r="R38" i="10"/>
  <c r="S38" i="10"/>
  <c r="R39" i="10"/>
  <c r="S39" i="10"/>
  <c r="R40" i="10"/>
  <c r="S40" i="10"/>
  <c r="R41" i="10"/>
  <c r="S41" i="10"/>
  <c r="R42" i="10"/>
  <c r="S42" i="10"/>
  <c r="R43" i="10"/>
  <c r="S43" i="10"/>
  <c r="R44" i="10"/>
  <c r="S44" i="10"/>
  <c r="R45" i="10"/>
  <c r="S45" i="10"/>
  <c r="R46" i="10"/>
  <c r="S46" i="10"/>
  <c r="S30" i="10"/>
  <c r="R30" i="10"/>
  <c r="E54" i="10"/>
  <c r="V5" i="10"/>
  <c r="V6" i="10"/>
  <c r="V7" i="10"/>
  <c r="V8" i="10"/>
  <c r="V9" i="10"/>
  <c r="V10" i="10"/>
  <c r="V11" i="10"/>
  <c r="V12" i="10"/>
  <c r="V13" i="10"/>
  <c r="V14" i="10"/>
  <c r="V15" i="10"/>
  <c r="V16" i="10"/>
  <c r="V17" i="10"/>
  <c r="V18" i="10"/>
  <c r="V19" i="10"/>
  <c r="V20" i="10"/>
  <c r="V4" i="10"/>
  <c r="U5" i="10"/>
  <c r="U6" i="10"/>
  <c r="U7" i="10"/>
  <c r="U8" i="10"/>
  <c r="U9" i="10"/>
  <c r="U10" i="10"/>
  <c r="U11" i="10"/>
  <c r="U12" i="10"/>
  <c r="U13" i="10"/>
  <c r="U14" i="10"/>
  <c r="U15" i="10"/>
  <c r="U16" i="10"/>
  <c r="U17" i="10"/>
  <c r="U18" i="10"/>
  <c r="U19" i="10"/>
  <c r="U20" i="10"/>
  <c r="U4" i="10"/>
  <c r="Y5" i="10"/>
  <c r="Y6" i="10"/>
  <c r="Y7" i="10"/>
  <c r="Y8" i="10"/>
  <c r="Y9" i="10"/>
  <c r="Y10" i="10"/>
  <c r="Y11" i="10"/>
  <c r="Y12" i="10"/>
  <c r="Y13" i="10"/>
  <c r="Y14" i="10"/>
  <c r="Y15" i="10"/>
  <c r="Y16" i="10"/>
  <c r="Y17" i="10"/>
  <c r="Y18" i="10"/>
  <c r="Y19" i="10"/>
  <c r="Y20" i="10"/>
  <c r="Y4" i="10"/>
  <c r="X5" i="10"/>
  <c r="X6" i="10"/>
  <c r="X7" i="10"/>
  <c r="X8" i="10"/>
  <c r="X9" i="10"/>
  <c r="X10" i="10"/>
  <c r="X11" i="10"/>
  <c r="X12" i="10"/>
  <c r="X13" i="10"/>
  <c r="X14" i="10"/>
  <c r="X15" i="10"/>
  <c r="X16" i="10"/>
  <c r="X17" i="10"/>
  <c r="X18" i="10"/>
  <c r="X19" i="10"/>
  <c r="X20" i="10"/>
  <c r="X4" i="10"/>
  <c r="R5" i="10"/>
  <c r="R6" i="10"/>
  <c r="R7" i="10"/>
  <c r="R8" i="10"/>
  <c r="R9" i="10"/>
  <c r="R10" i="10"/>
  <c r="R11" i="10"/>
  <c r="R12" i="10"/>
  <c r="R13" i="10"/>
  <c r="R14" i="10"/>
  <c r="R15" i="10"/>
  <c r="R16" i="10"/>
  <c r="R17" i="10"/>
  <c r="R18" i="10"/>
  <c r="R19" i="10"/>
  <c r="R20" i="10"/>
  <c r="R4" i="10"/>
  <c r="Q5" i="10"/>
  <c r="Q6" i="10"/>
  <c r="Q7" i="10"/>
  <c r="Q8" i="10"/>
  <c r="Q9" i="10"/>
  <c r="Q10" i="10"/>
  <c r="Q11" i="10"/>
  <c r="Q12" i="10"/>
  <c r="Q13" i="10"/>
  <c r="Q14" i="10"/>
  <c r="Q15" i="10"/>
  <c r="Q16" i="10"/>
  <c r="Q17" i="10"/>
  <c r="Q18" i="10"/>
  <c r="Q19" i="10"/>
  <c r="Q20" i="10"/>
  <c r="Q4" i="10"/>
  <c r="P5" i="10"/>
  <c r="P6" i="10"/>
  <c r="P7" i="10"/>
  <c r="P8" i="10"/>
  <c r="P9" i="10"/>
  <c r="P10" i="10"/>
  <c r="P11" i="10"/>
  <c r="P12" i="10"/>
  <c r="P13" i="10"/>
  <c r="P14" i="10"/>
  <c r="P15" i="10"/>
  <c r="P16" i="10"/>
  <c r="P17" i="10"/>
  <c r="P18" i="10"/>
  <c r="P19" i="10"/>
  <c r="P4" i="10"/>
  <c r="O5" i="10"/>
  <c r="O6" i="10"/>
  <c r="O7" i="10"/>
  <c r="O8" i="10"/>
  <c r="O9" i="10"/>
  <c r="O10" i="10"/>
  <c r="O11" i="10"/>
  <c r="O12" i="10"/>
  <c r="O13" i="10"/>
  <c r="O14" i="10"/>
  <c r="O15" i="10"/>
  <c r="O16" i="10"/>
  <c r="O17" i="10"/>
  <c r="O18" i="10"/>
  <c r="O19" i="10"/>
  <c r="O20" i="10"/>
  <c r="O4" i="10"/>
  <c r="N5" i="10"/>
  <c r="N6" i="10"/>
  <c r="N7" i="10"/>
  <c r="N8" i="10"/>
  <c r="N9" i="10"/>
  <c r="N10" i="10"/>
  <c r="N11" i="10"/>
  <c r="N12" i="10"/>
  <c r="N13" i="10"/>
  <c r="N14" i="10"/>
  <c r="N15" i="10"/>
  <c r="N16" i="10"/>
  <c r="N17" i="10"/>
  <c r="N18" i="10"/>
  <c r="N19" i="10"/>
  <c r="N20" i="10"/>
  <c r="N4" i="10"/>
  <c r="M5" i="10"/>
  <c r="M6" i="10"/>
  <c r="M7" i="10"/>
  <c r="M8" i="10"/>
  <c r="M9" i="10"/>
  <c r="M10" i="10"/>
  <c r="M11" i="10"/>
  <c r="M12" i="10"/>
  <c r="M13" i="10"/>
  <c r="M14" i="10"/>
  <c r="M15" i="10"/>
  <c r="M16" i="10"/>
  <c r="M17" i="10"/>
  <c r="M18" i="10"/>
  <c r="M19" i="10"/>
  <c r="M4" i="10"/>
  <c r="O31" i="10"/>
  <c r="P31" i="10"/>
  <c r="O32" i="10"/>
  <c r="P32" i="10"/>
  <c r="O33" i="10"/>
  <c r="P33" i="10"/>
  <c r="O34" i="10"/>
  <c r="P34" i="10"/>
  <c r="O35" i="10"/>
  <c r="P35" i="10"/>
  <c r="O36" i="10"/>
  <c r="P36" i="10"/>
  <c r="O37" i="10"/>
  <c r="P37" i="10"/>
  <c r="O38" i="10"/>
  <c r="P38" i="10"/>
  <c r="O39" i="10"/>
  <c r="P39" i="10"/>
  <c r="O40" i="10"/>
  <c r="P40" i="10"/>
  <c r="O41" i="10"/>
  <c r="P41" i="10"/>
  <c r="O42" i="10"/>
  <c r="P42" i="10"/>
  <c r="O43" i="10"/>
  <c r="P43" i="10"/>
  <c r="O44" i="10"/>
  <c r="P44" i="10"/>
  <c r="O45" i="10"/>
  <c r="P45" i="10"/>
  <c r="O46" i="10"/>
  <c r="P46" i="10"/>
  <c r="P30" i="10"/>
  <c r="O30" i="10"/>
  <c r="L31" i="10"/>
  <c r="M31" i="10"/>
  <c r="L32" i="10"/>
  <c r="M32" i="10"/>
  <c r="L33" i="10"/>
  <c r="M33" i="10"/>
  <c r="L34" i="10"/>
  <c r="M34" i="10"/>
  <c r="L35" i="10"/>
  <c r="M35" i="10"/>
  <c r="L36" i="10"/>
  <c r="M36" i="10"/>
  <c r="L37" i="10"/>
  <c r="M37" i="10"/>
  <c r="L38" i="10"/>
  <c r="M38" i="10"/>
  <c r="L39" i="10"/>
  <c r="M39" i="10"/>
  <c r="L40" i="10"/>
  <c r="M40" i="10"/>
  <c r="L41" i="10"/>
  <c r="M41" i="10"/>
  <c r="L42" i="10"/>
  <c r="M42" i="10"/>
  <c r="L43" i="10"/>
  <c r="M43" i="10"/>
  <c r="L44" i="10"/>
  <c r="M44" i="10"/>
  <c r="L45" i="10"/>
  <c r="M45" i="10"/>
  <c r="L46" i="10"/>
  <c r="M46" i="10"/>
  <c r="L30" i="10"/>
  <c r="M30" i="10"/>
  <c r="D45" i="5"/>
  <c r="D46" i="5"/>
  <c r="D47" i="5"/>
  <c r="D48" i="5"/>
  <c r="D49" i="5"/>
  <c r="D50" i="5"/>
  <c r="D51" i="5"/>
  <c r="D44" i="5"/>
  <c r="D109" i="10"/>
  <c r="C109" i="10"/>
  <c r="E92" i="10"/>
  <c r="E93" i="10"/>
  <c r="E94" i="10"/>
  <c r="E95" i="10"/>
  <c r="E96" i="10"/>
  <c r="E97" i="10"/>
  <c r="E98" i="10"/>
  <c r="E99" i="10"/>
  <c r="E100" i="10"/>
  <c r="E101" i="10"/>
  <c r="E102" i="10"/>
  <c r="E103" i="10"/>
  <c r="E104" i="10"/>
  <c r="E105" i="10"/>
  <c r="E106" i="10"/>
  <c r="E107" i="10"/>
  <c r="E108" i="10"/>
  <c r="E91" i="10"/>
  <c r="J92" i="10"/>
  <c r="J93" i="10"/>
  <c r="J94" i="10"/>
  <c r="J95" i="10"/>
  <c r="J96" i="10"/>
  <c r="J97" i="10"/>
  <c r="J98" i="10"/>
  <c r="J99" i="10"/>
  <c r="J100" i="10"/>
  <c r="J101" i="10"/>
  <c r="J102" i="10"/>
  <c r="J103" i="10"/>
  <c r="J104" i="10"/>
  <c r="J105" i="10"/>
  <c r="J106" i="10"/>
  <c r="J107" i="10"/>
  <c r="J108" i="10"/>
  <c r="J91" i="10"/>
  <c r="I109" i="10"/>
  <c r="H109" i="10"/>
  <c r="E68" i="10"/>
  <c r="E69" i="10"/>
  <c r="E70" i="10"/>
  <c r="E71" i="10"/>
  <c r="E72" i="10"/>
  <c r="E73" i="10"/>
  <c r="E74" i="10"/>
  <c r="E75" i="10"/>
  <c r="E76" i="10"/>
  <c r="E77" i="10"/>
  <c r="E78" i="10"/>
  <c r="E79" i="10"/>
  <c r="E80" i="10"/>
  <c r="E81" i="10"/>
  <c r="E82" i="10"/>
  <c r="E83" i="10"/>
  <c r="E84" i="10"/>
  <c r="E67" i="10"/>
  <c r="D85" i="10"/>
  <c r="C85" i="10"/>
  <c r="I85" i="10"/>
  <c r="H85" i="10"/>
  <c r="J70" i="10"/>
  <c r="J71" i="10"/>
  <c r="J72" i="10"/>
  <c r="J73" i="10"/>
  <c r="J74" i="10"/>
  <c r="J75" i="10"/>
  <c r="J76" i="10"/>
  <c r="J77" i="10"/>
  <c r="J78" i="10"/>
  <c r="J79" i="10"/>
  <c r="J80" i="10"/>
  <c r="J81" i="10"/>
  <c r="J82" i="10"/>
  <c r="J83" i="10"/>
  <c r="J84" i="10"/>
  <c r="J69" i="10"/>
  <c r="D14" i="5"/>
  <c r="D8" i="5"/>
  <c r="D9" i="5"/>
  <c r="D10" i="5"/>
  <c r="D11" i="5"/>
  <c r="D12" i="5"/>
  <c r="D13" i="5"/>
  <c r="D7" i="5"/>
  <c r="C201" i="10" l="1"/>
  <c r="C200" i="10"/>
  <c r="C207" i="10"/>
  <c r="I42" i="12"/>
  <c r="M42" i="12" s="1"/>
  <c r="F44" i="12" s="1"/>
  <c r="D207" i="10"/>
  <c r="D201" i="10"/>
  <c r="C114" i="10"/>
  <c r="C228" i="10"/>
  <c r="C222" i="10"/>
  <c r="C210" i="10"/>
  <c r="C216" i="10"/>
  <c r="C206" i="10"/>
  <c r="D206" i="10"/>
  <c r="D200" i="10"/>
  <c r="E109" i="10"/>
  <c r="J109" i="10"/>
  <c r="N104" i="10"/>
  <c r="O97" i="10"/>
  <c r="E85" i="10"/>
  <c r="L47" i="10"/>
  <c r="N103" i="10"/>
  <c r="N95" i="10"/>
  <c r="N94" i="10"/>
  <c r="O93" i="10"/>
  <c r="O91" i="10"/>
  <c r="N92" i="10"/>
  <c r="M47" i="10"/>
  <c r="I44" i="5"/>
  <c r="H44" i="5"/>
  <c r="G44" i="5"/>
  <c r="F44" i="5"/>
  <c r="E44" i="5"/>
  <c r="I51" i="5"/>
  <c r="H51" i="5"/>
  <c r="G51" i="5"/>
  <c r="F51" i="5"/>
  <c r="E51" i="5"/>
  <c r="E49" i="5"/>
  <c r="I49" i="5"/>
  <c r="H49" i="5"/>
  <c r="G49" i="5"/>
  <c r="F49" i="5"/>
  <c r="I50" i="5"/>
  <c r="H50" i="5"/>
  <c r="G50" i="5"/>
  <c r="F50" i="5"/>
  <c r="E50" i="5"/>
  <c r="I48" i="5"/>
  <c r="H48" i="5"/>
  <c r="G48" i="5"/>
  <c r="F48" i="5"/>
  <c r="E48" i="5"/>
  <c r="I47" i="5"/>
  <c r="H47" i="5"/>
  <c r="G47" i="5"/>
  <c r="F47" i="5"/>
  <c r="E47" i="5"/>
  <c r="H46" i="5"/>
  <c r="F46" i="5"/>
  <c r="E46" i="5"/>
  <c r="I46" i="5"/>
  <c r="G46" i="5"/>
  <c r="I45" i="5"/>
  <c r="H45" i="5"/>
  <c r="G45" i="5"/>
  <c r="F45" i="5"/>
  <c r="E45" i="5"/>
  <c r="J85" i="10"/>
  <c r="D231" i="10" l="1"/>
  <c r="O200" i="10"/>
  <c r="N200" i="10"/>
  <c r="D230" i="10"/>
  <c r="O199" i="10"/>
  <c r="N199" i="10"/>
  <c r="N100" i="10"/>
  <c r="N97" i="10"/>
  <c r="M92" i="10"/>
  <c r="C231" i="10"/>
  <c r="C225" i="10"/>
  <c r="C219" i="10"/>
  <c r="C213" i="10"/>
  <c r="O99" i="10"/>
  <c r="D225" i="10"/>
  <c r="D219" i="10"/>
  <c r="D213" i="10"/>
  <c r="O98" i="10"/>
  <c r="N91" i="10"/>
  <c r="O92" i="10"/>
  <c r="O94" i="10"/>
  <c r="L71" i="10"/>
  <c r="D224" i="10"/>
  <c r="D218" i="10"/>
  <c r="D212" i="10"/>
  <c r="C230" i="10"/>
  <c r="C224" i="10"/>
  <c r="C212" i="10"/>
  <c r="C218" i="10"/>
  <c r="N101" i="10"/>
  <c r="O107" i="10"/>
  <c r="O106" i="10"/>
  <c r="O100" i="10"/>
  <c r="O102" i="10"/>
  <c r="N96" i="10"/>
  <c r="N98" i="10"/>
  <c r="N99" i="10"/>
  <c r="O101" i="10"/>
  <c r="O95" i="10"/>
  <c r="N106" i="10"/>
  <c r="O96" i="10"/>
  <c r="N102" i="10"/>
  <c r="N105" i="10"/>
  <c r="N107" i="10"/>
  <c r="N93" i="10"/>
  <c r="O103" i="10"/>
  <c r="O105" i="10"/>
  <c r="O104" i="10"/>
  <c r="M95" i="10"/>
  <c r="M94" i="10"/>
  <c r="L95" i="10"/>
  <c r="L101" i="10"/>
  <c r="M102" i="10"/>
  <c r="L107" i="10"/>
  <c r="M105" i="10"/>
  <c r="L97" i="10"/>
  <c r="L91" i="10"/>
  <c r="M101" i="10"/>
  <c r="L93" i="10"/>
  <c r="L104" i="10"/>
  <c r="L99" i="10"/>
  <c r="M97" i="10"/>
  <c r="M107" i="10"/>
  <c r="L100" i="10"/>
  <c r="M98" i="10"/>
  <c r="M93" i="10"/>
  <c r="M104" i="10"/>
  <c r="L96" i="10"/>
  <c r="L106" i="10"/>
  <c r="M91" i="10"/>
  <c r="L102" i="10"/>
  <c r="L103" i="10"/>
  <c r="M100" i="10"/>
  <c r="L92" i="10"/>
  <c r="M103" i="10"/>
  <c r="L98" i="10"/>
  <c r="M106" i="10"/>
  <c r="M96" i="10"/>
  <c r="C117" i="10"/>
  <c r="M99" i="10"/>
  <c r="L94" i="10"/>
  <c r="L105" i="10"/>
  <c r="M68" i="10"/>
  <c r="M82" i="10"/>
  <c r="L73" i="10"/>
  <c r="M67" i="10"/>
  <c r="L77" i="10"/>
  <c r="M83" i="10"/>
  <c r="M75" i="10"/>
  <c r="L82" i="10"/>
  <c r="M81" i="10"/>
  <c r="L80" i="10"/>
  <c r="M71" i="10"/>
  <c r="M70" i="10"/>
  <c r="M78" i="10"/>
  <c r="L78" i="10"/>
  <c r="L67" i="10"/>
  <c r="L76" i="10"/>
  <c r="L83" i="10"/>
  <c r="M77" i="10"/>
  <c r="L74" i="10"/>
  <c r="M80" i="10"/>
  <c r="L72" i="10"/>
  <c r="L79" i="10"/>
  <c r="L69" i="10"/>
  <c r="L70" i="10"/>
  <c r="M76" i="10"/>
  <c r="L68" i="10"/>
  <c r="L75" i="10"/>
  <c r="M79" i="10"/>
  <c r="M69" i="10"/>
  <c r="M74" i="10"/>
  <c r="L81" i="10"/>
  <c r="M72" i="10"/>
  <c r="M73" i="10"/>
  <c r="C116" i="10"/>
  <c r="P71" i="10"/>
  <c r="P75" i="10"/>
  <c r="P79" i="10"/>
  <c r="P83" i="10"/>
  <c r="O68" i="10"/>
  <c r="O72" i="10"/>
  <c r="O76" i="10"/>
  <c r="O80" i="10"/>
  <c r="O67" i="10"/>
  <c r="P82" i="10"/>
  <c r="P68" i="10"/>
  <c r="P72" i="10"/>
  <c r="P76" i="10"/>
  <c r="P80" i="10"/>
  <c r="P67" i="10"/>
  <c r="O69" i="10"/>
  <c r="O73" i="10"/>
  <c r="O77" i="10"/>
  <c r="O81" i="10"/>
  <c r="P74" i="10"/>
  <c r="P69" i="10"/>
  <c r="P73" i="10"/>
  <c r="P77" i="10"/>
  <c r="P81" i="10"/>
  <c r="P70" i="10"/>
  <c r="O70" i="10"/>
  <c r="O74" i="10"/>
  <c r="O78" i="10"/>
  <c r="O82" i="10"/>
  <c r="P78" i="10"/>
  <c r="O71" i="10"/>
  <c r="O75" i="10"/>
  <c r="O79" i="10"/>
  <c r="O83" i="10"/>
</calcChain>
</file>

<file path=xl/sharedStrings.xml><?xml version="1.0" encoding="utf-8"?>
<sst xmlns="http://schemas.openxmlformats.org/spreadsheetml/2006/main" count="3226" uniqueCount="1351">
  <si>
    <t>Metric</t>
  </si>
  <si>
    <t>Sex</t>
  </si>
  <si>
    <t>Location Name</t>
  </si>
  <si>
    <t>Location Type</t>
  </si>
  <si>
    <t>Cancer</t>
  </si>
  <si>
    <t>ASR 2005</t>
  </si>
  <si>
    <t>95% UI ASR 2005</t>
  </si>
  <si>
    <t>ASR 2015</t>
  </si>
  <si>
    <t>95% UI ASR 2015</t>
  </si>
  <si>
    <t>Percent change ASR 2005 to 2015</t>
  </si>
  <si>
    <t>95% UI percent change ASR 2005 to 2015</t>
  </si>
  <si>
    <t>Absolute number 2005</t>
  </si>
  <si>
    <t>95% UI absolute number 2005</t>
  </si>
  <si>
    <t>Absolute number 2015</t>
  </si>
  <si>
    <t>95% UI absolute number 2015</t>
  </si>
  <si>
    <t>Percent change absolute number 2005 to 2015</t>
  </si>
  <si>
    <t>95% UI percent change absolute number 2005 to 2015</t>
  </si>
  <si>
    <t>daly</t>
  </si>
  <si>
    <t>both</t>
  </si>
  <si>
    <t>Global</t>
  </si>
  <si>
    <t>global</t>
  </si>
  <si>
    <t>Cervical cancer</t>
  </si>
  <si>
    <t>(111.8, 126.1)</t>
  </si>
  <si>
    <t>(90.7, 102.7)</t>
  </si>
  <si>
    <t>(-23.9, -12.2)</t>
  </si>
  <si>
    <t>(6393441, 7236430)</t>
  </si>
  <si>
    <t>(6526214, 7407969)</t>
  </si>
  <si>
    <t>(-4.5, 10.5)</t>
  </si>
  <si>
    <t>Kenya</t>
  </si>
  <si>
    <t>admin0</t>
  </si>
  <si>
    <t>(345.3, 543.5)</t>
  </si>
  <si>
    <t>(337.9, 520.7)</t>
  </si>
  <si>
    <t>(-25.1, 20.5)</t>
  </si>
  <si>
    <t>(49850, 78645)</t>
  </si>
  <si>
    <t>(69616, 107363)</t>
  </si>
  <si>
    <t>(7.5, 74.6)</t>
  </si>
  <si>
    <t>female</t>
  </si>
  <si>
    <t>(657.6, 1036.0)</t>
  </si>
  <si>
    <t>(644.2, 993.1)</t>
  </si>
  <si>
    <t>(-25.1, 20.7)</t>
  </si>
  <si>
    <t>incidence</t>
  </si>
  <si>
    <t>(8.6, 9.9)</t>
  </si>
  <si>
    <t>(6.7, 8.0)</t>
  </si>
  <si>
    <t>(-27.3, -11.9)</t>
  </si>
  <si>
    <t>(493307, 571141)</t>
  </si>
  <si>
    <t>(482971, 570828)</t>
  </si>
  <si>
    <t>(-10.2, 9.8)</t>
  </si>
  <si>
    <t>(15.5, 38.1)</t>
  </si>
  <si>
    <t>(12.2, 41.3)</t>
  </si>
  <si>
    <t>(-52.3, 78.6)</t>
  </si>
  <si>
    <t>(2363, 5711)</t>
  </si>
  <si>
    <t>(2595, 8797)</t>
  </si>
  <si>
    <t>(-33.4, 150.7)</t>
  </si>
  <si>
    <t>(29.7, 72.4)</t>
  </si>
  <si>
    <t>(23.4, 79.2)</t>
  </si>
  <si>
    <t>(-52.2, 79.4)</t>
  </si>
  <si>
    <t>mortality</t>
  </si>
  <si>
    <t>(4.0, 4.4)</t>
  </si>
  <si>
    <t>(3.3, 3.7)</t>
  </si>
  <si>
    <t>(-22.5, -11.5)</t>
  </si>
  <si>
    <t>(213893, 237838)</t>
  </si>
  <si>
    <t>(225293, 252398)</t>
  </si>
  <si>
    <t>(-0.5, 13.8)</t>
  </si>
  <si>
    <t>(12.8, 20.1)</t>
  </si>
  <si>
    <t>(12.4, 19.2)</t>
  </si>
  <si>
    <t>(-25.3, 20.0)</t>
  </si>
  <si>
    <t>(1678, 2650)</t>
  </si>
  <si>
    <t>(2339, 3616)</t>
  </si>
  <si>
    <t>(6.3, 72.1)</t>
  </si>
  <si>
    <t>(24.2, 38.2)</t>
  </si>
  <si>
    <t>(23.5, 36.3)</t>
  </si>
  <si>
    <t>(-25.6, 19.6)</t>
  </si>
  <si>
    <t>ASR: Age-standardized rate. A weighted average of age-specific rates.</t>
  </si>
  <si>
    <t>UI: Uncertainty intervals. A range of values that is likely to include the correct estimate of health loss for a given cause. Limited data create substantial uncertainty.</t>
  </si>
  <si>
    <t>n</t>
  </si>
  <si>
    <t>95% CI</t>
  </si>
  <si>
    <t>18-29</t>
  </si>
  <si>
    <t>30-44</t>
  </si>
  <si>
    <t>45-59</t>
  </si>
  <si>
    <t>60-69</t>
  </si>
  <si>
    <t>Age</t>
  </si>
  <si>
    <t>4.3-10.2</t>
  </si>
  <si>
    <t>12.8-20.5</t>
  </si>
  <si>
    <t>8.9-19.1</t>
  </si>
  <si>
    <t>3.5-12.4</t>
  </si>
  <si>
    <t>8.8-13.9</t>
  </si>
  <si>
    <t>% ever screened</t>
  </si>
  <si>
    <t xml:space="preserve">Prevalence of ever been screened among all women </t>
  </si>
  <si>
    <t>Percentage of women age 30-49 years who have ever been screened for cervical cancer by selected demographic characteristic</t>
  </si>
  <si>
    <t>Table 3.5.2</t>
  </si>
  <si>
    <t>Table 3.5.3</t>
  </si>
  <si>
    <t>Residence</t>
  </si>
  <si>
    <t>Rural</t>
  </si>
  <si>
    <t>Urban</t>
  </si>
  <si>
    <t>Education Level</t>
  </si>
  <si>
    <t>Primary school complete</t>
  </si>
  <si>
    <t>Wealth Quintile</t>
  </si>
  <si>
    <t>Poorest</t>
  </si>
  <si>
    <t>Second</t>
  </si>
  <si>
    <t>Middle</t>
  </si>
  <si>
    <t>Fourth</t>
  </si>
  <si>
    <t>Richest</t>
  </si>
  <si>
    <t>TOTAL</t>
  </si>
  <si>
    <t>No formal Schooling</t>
  </si>
  <si>
    <t>Primary school incomplete</t>
  </si>
  <si>
    <t>Secondary school and above</t>
  </si>
  <si>
    <t>N</t>
  </si>
  <si>
    <t>%</t>
  </si>
  <si>
    <t>9.8-18.0</t>
  </si>
  <si>
    <t>14.7-30.2</t>
  </si>
  <si>
    <t>0.0-6.8</t>
  </si>
  <si>
    <t>8.6-19.2</t>
  </si>
  <si>
    <t>12.5-22.7</t>
  </si>
  <si>
    <t>19.9-35.7</t>
  </si>
  <si>
    <t>0.5-6.6</t>
  </si>
  <si>
    <t>6.6-15.4</t>
  </si>
  <si>
    <t>12.8-26.6</t>
  </si>
  <si>
    <t>15.7-35.0</t>
  </si>
  <si>
    <t>19.4-39.8</t>
  </si>
  <si>
    <t>12.7-20.1</t>
  </si>
  <si>
    <t>Source: Kenya STEPwise Survey for NCD Risk Factors 2015 (Nationally representative survey)</t>
  </si>
  <si>
    <t xml:space="preserve">Prevalence of HIV among women with invasive CC: 15% </t>
  </si>
  <si>
    <t>Prevalence of HIV among all people in Kenya: 7%</t>
  </si>
  <si>
    <r>
      <t xml:space="preserve">Source: National Cervical Cancer Strategic Plan 2012-2015, 2012 </t>
    </r>
    <r>
      <rPr>
        <sz val="11"/>
        <color theme="1"/>
        <rFont val="Calibri"/>
        <family val="2"/>
        <scheme val="minor"/>
      </rPr>
      <t>https://www.iedea-ea.org/images/article/304/National%20Cervical%20Cancer%20Prevention%20Plan%20FINALFeb%202012.pdf</t>
    </r>
  </si>
  <si>
    <t>Prevalence of any cervical abnormalitie among HIV+ women attending HIV clinics: 43%</t>
  </si>
  <si>
    <t>Prevalence of any cervical abnormalitie among general population of women: 3.6%</t>
  </si>
  <si>
    <t>(Stats not referenced)</t>
  </si>
  <si>
    <t xml:space="preserve">Screening method in Kenya: VIA followed by VILI, then treat if positive on either  </t>
  </si>
  <si>
    <t xml:space="preserve">Availability of Pap smear is limited and mostly in urban areas </t>
  </si>
  <si>
    <t xml:space="preserve">Approximately 300 sites offer cervical cancer screening in Kenya, but only 10% offer treatment </t>
  </si>
  <si>
    <t xml:space="preserve">Recommendations: </t>
  </si>
  <si>
    <t>* screen with VIA, VILI, Pap, or HPV test every5 years for HIV- women aged 25-49, but women outside this age range will not be denied screening</t>
  </si>
  <si>
    <t xml:space="preserve">* HIV+ women 18-65 years old screened at diagnosis, then every 6 months in the 1st year after diagnoses, then yearly after that </t>
  </si>
  <si>
    <t>Source: DHS, 2014</t>
  </si>
  <si>
    <t xml:space="preserve">Median age at first intercourse (Kenya): 18 among women and 17.4 among men </t>
  </si>
  <si>
    <t xml:space="preserve">Median age at first intercourse (Nyanza): 16.3 among women and 17.2 among men </t>
  </si>
  <si>
    <t>Source: DHS 2014</t>
  </si>
  <si>
    <t>15-19</t>
  </si>
  <si>
    <t>20-24</t>
  </si>
  <si>
    <t>25-29</t>
  </si>
  <si>
    <t>30-34</t>
  </si>
  <si>
    <t>35-39</t>
  </si>
  <si>
    <t>40-44</t>
  </si>
  <si>
    <t>45-49</t>
  </si>
  <si>
    <t>Total</t>
  </si>
  <si>
    <t>Number of women</t>
  </si>
  <si>
    <t>Mean number of children ever born</t>
  </si>
  <si>
    <t>Mean number of living children</t>
  </si>
  <si>
    <t>Total fertility rate (Kenya): 3.9 births per woman (15-49)</t>
  </si>
  <si>
    <t>Total fertility rate (Nyanza): 4.3 births per woman (15-49)</t>
  </si>
  <si>
    <t>Age group</t>
  </si>
  <si>
    <t xml:space="preserve">Fertility rate per 1000 woman </t>
  </si>
  <si>
    <t>Fertility %</t>
  </si>
  <si>
    <t xml:space="preserve">Kenya </t>
  </si>
  <si>
    <t>Average</t>
  </si>
  <si>
    <t>15-24</t>
  </si>
  <si>
    <t>30-39</t>
  </si>
  <si>
    <t>40-49</t>
  </si>
  <si>
    <t>Nyanza</t>
  </si>
  <si>
    <t xml:space="preserve">% of all women with 2+ partners in the past 12 months </t>
  </si>
  <si>
    <t xml:space="preserve">Mean number of lifetime sex partners among women who had had sex </t>
  </si>
  <si>
    <t xml:space="preserve">% of all men with 2+ partners in the past 12 months </t>
  </si>
  <si>
    <t>% of women with concurrent partners in the past 12 months</t>
  </si>
  <si>
    <t>% of men with concurrent partners in the past 12 months</t>
  </si>
  <si>
    <t>% of men who had ever paid for sex</t>
  </si>
  <si>
    <t>% of men who paid for sex in past 12 months</t>
  </si>
  <si>
    <t xml:space="preserve">% received HIV counselign and test during ANC </t>
  </si>
  <si>
    <t xml:space="preserve">Among women who had given birth in the past two years </t>
  </si>
  <si>
    <t xml:space="preserve">% women </t>
  </si>
  <si>
    <t>15-17</t>
  </si>
  <si>
    <t>18-19</t>
  </si>
  <si>
    <t>20-22</t>
  </si>
  <si>
    <t>23-24</t>
  </si>
  <si>
    <t>% men</t>
  </si>
  <si>
    <t>% of youths with 2+ partners in the past 12 months</t>
  </si>
  <si>
    <t>% of youths (15-24) who had sex before 15</t>
  </si>
  <si>
    <t xml:space="preserve">% of youths (15-24) who had sex in the past 12 months </t>
  </si>
  <si>
    <t>% women had HIV test</t>
  </si>
  <si>
    <t>% men had HIV test</t>
  </si>
  <si>
    <t xml:space="preserve">Nyanza </t>
  </si>
  <si>
    <t>Table 14.2</t>
  </si>
  <si>
    <t xml:space="preserve">Cervical cancer screening </t>
  </si>
  <si>
    <t xml:space="preserve"># women </t>
  </si>
  <si>
    <t xml:space="preserve">% had Pap among those screened </t>
  </si>
  <si>
    <t>% had both pap and visual inspection</t>
  </si>
  <si>
    <t>% unsure / don't know</t>
  </si>
  <si>
    <t>Note: values in blue are based on 25-49 unweighted cases</t>
  </si>
  <si>
    <t>% had VIA or VILI</t>
  </si>
  <si>
    <t xml:space="preserve">% ever screened </t>
  </si>
  <si>
    <t>Table 5.3.2</t>
  </si>
  <si>
    <t>Fertility rates by age (Kenya)</t>
  </si>
  <si>
    <t>Table 5.3.1</t>
  </si>
  <si>
    <t>Time trends in age-specific fertility rates in Kenya</t>
  </si>
  <si>
    <t>TFR</t>
  </si>
  <si>
    <t>1975-78</t>
  </si>
  <si>
    <t xml:space="preserve">Data source: </t>
  </si>
  <si>
    <t xml:space="preserve">Year </t>
  </si>
  <si>
    <t>Year:</t>
  </si>
  <si>
    <t>1977/78 KFS</t>
  </si>
  <si>
    <t>1984-88</t>
  </si>
  <si>
    <t>1989 KDHS</t>
  </si>
  <si>
    <t>1990-92</t>
  </si>
  <si>
    <t>1993 KDHS</t>
  </si>
  <si>
    <t>1995-97</t>
  </si>
  <si>
    <t>1998 KDHS</t>
  </si>
  <si>
    <t>1999 Census</t>
  </si>
  <si>
    <t>2003 KDHS</t>
  </si>
  <si>
    <t>2000-02</t>
  </si>
  <si>
    <t>2008-09 KDHS</t>
  </si>
  <si>
    <t>2006-08</t>
  </si>
  <si>
    <t>2014 KDHS</t>
  </si>
  <si>
    <t>2011-2013</t>
  </si>
  <si>
    <t>TFR (per woman)</t>
  </si>
  <si>
    <t>Table 5.4</t>
  </si>
  <si>
    <t xml:space="preserve">Number of living children </t>
  </si>
  <si>
    <t xml:space="preserve">Female </t>
  </si>
  <si>
    <t>Total (age-adjusted)</t>
  </si>
  <si>
    <t xml:space="preserve">Male </t>
  </si>
  <si>
    <t xml:space="preserve">Age-specific adult mortality rates </t>
  </si>
  <si>
    <t xml:space="preserve">Table 17.2 </t>
  </si>
  <si>
    <t>Survey</t>
  </si>
  <si>
    <t>Probabilties of dying between age 15 and 50 (per 1000 person-years)</t>
  </si>
  <si>
    <t>Female</t>
  </si>
  <si>
    <t>Male</t>
  </si>
  <si>
    <t>Rate</t>
  </si>
  <si>
    <t>SE</t>
  </si>
  <si>
    <t>Table 17.1 /B.13</t>
  </si>
  <si>
    <t>Prob</t>
  </si>
  <si>
    <t>Maternal mortality</t>
  </si>
  <si>
    <t xml:space="preserve">Maternal mortality </t>
  </si>
  <si>
    <t>Table 13.14</t>
  </si>
  <si>
    <t xml:space="preserve">Male circumcision </t>
  </si>
  <si>
    <t>% circumcised</t>
  </si>
  <si>
    <t xml:space="preserve">Number of partners </t>
  </si>
  <si>
    <t>Table 34</t>
  </si>
  <si>
    <t>Time trend in median age at first sex</t>
  </si>
  <si>
    <t>Study</t>
  </si>
  <si>
    <t>DHS 1993</t>
  </si>
  <si>
    <t>DHS 1998</t>
  </si>
  <si>
    <t>DHS 2003</t>
  </si>
  <si>
    <t>DHS 2008-09</t>
  </si>
  <si>
    <t>DHS 2014</t>
  </si>
  <si>
    <t>Year/period</t>
  </si>
  <si>
    <t>Source: ICO Kenya HPV report 2017</t>
  </si>
  <si>
    <t>Location</t>
  </si>
  <si>
    <t>Mombasa</t>
  </si>
  <si>
    <t xml:space="preserve">Age </t>
  </si>
  <si>
    <t>&lt;25 (n=199)</t>
  </si>
  <si>
    <t xml:space="preserve">Prevalence </t>
  </si>
  <si>
    <t>Types</t>
  </si>
  <si>
    <t>HPV 16/18</t>
  </si>
  <si>
    <t>Other HR types</t>
  </si>
  <si>
    <t>LR types</t>
  </si>
  <si>
    <t>15+ (n=496)</t>
  </si>
  <si>
    <t>Any HPV</t>
  </si>
  <si>
    <t>HR HPV</t>
  </si>
  <si>
    <t>HPV 16</t>
  </si>
  <si>
    <t>HPV 18</t>
  </si>
  <si>
    <t>HPV 31</t>
  </si>
  <si>
    <t>HPV 33</t>
  </si>
  <si>
    <t>HPV 45</t>
  </si>
  <si>
    <t>HPV 52</t>
  </si>
  <si>
    <t>HPV 58</t>
  </si>
  <si>
    <t>CIN2+ or HSIL</t>
  </si>
  <si>
    <t>2.2%</t>
  </si>
  <si>
    <t>Any abnormality</t>
  </si>
  <si>
    <t>Nairobi</t>
  </si>
  <si>
    <t>25-55 (n=445)</t>
  </si>
  <si>
    <t>44.3%</t>
  </si>
  <si>
    <t>6.9%</t>
  </si>
  <si>
    <t>2.7%</t>
  </si>
  <si>
    <t>3.7%</t>
  </si>
  <si>
    <t>2.0%</t>
  </si>
  <si>
    <t>8.3%</t>
  </si>
  <si>
    <t>3.4%</t>
  </si>
  <si>
    <t>7.0%</t>
  </si>
  <si>
    <t>2.1%</t>
  </si>
  <si>
    <t>4.7%</t>
  </si>
  <si>
    <t>6.8%</t>
  </si>
  <si>
    <t>CIN 2</t>
  </si>
  <si>
    <t>CIN 3</t>
  </si>
  <si>
    <t>HSIL</t>
  </si>
  <si>
    <t>ICC</t>
  </si>
  <si>
    <t>CIN 1 or LSIL</t>
  </si>
  <si>
    <t xml:space="preserve">Population </t>
  </si>
  <si>
    <t xml:space="preserve">General </t>
  </si>
  <si>
    <t>Population</t>
  </si>
  <si>
    <t>General</t>
  </si>
  <si>
    <t xml:space="preserve">HIV+ women </t>
  </si>
  <si>
    <t>18-55 (n=498)</t>
  </si>
  <si>
    <t>CIN 1</t>
  </si>
  <si>
    <t>CIN2+</t>
  </si>
  <si>
    <t>&lt;30 (n=62)</t>
  </si>
  <si>
    <t>Non-16/18 HR HPV</t>
  </si>
  <si>
    <t>&lt;35 (n=90)</t>
  </si>
  <si>
    <t>CIN1</t>
  </si>
  <si>
    <t>HIV+ women</t>
  </si>
  <si>
    <t xml:space="preserve">Overall </t>
  </si>
  <si>
    <t xml:space="preserve">HR and potentially HR </t>
  </si>
  <si>
    <t>HIV+ women, non FSW</t>
  </si>
  <si>
    <t>HIV+ women, normal cytology</t>
  </si>
  <si>
    <t>33%</t>
  </si>
  <si>
    <t>16%</t>
  </si>
  <si>
    <t>17%</t>
  </si>
  <si>
    <t>12%</t>
  </si>
  <si>
    <t>2%</t>
  </si>
  <si>
    <t>8%</t>
  </si>
  <si>
    <t>26%</t>
  </si>
  <si>
    <t>7%</t>
  </si>
  <si>
    <t>Source: Kenya Population Census 1989</t>
  </si>
  <si>
    <t>Nyanza Province</t>
  </si>
  <si>
    <t>15 - 19</t>
  </si>
  <si>
    <t>20 - 24</t>
  </si>
  <si>
    <t>25 - 29</t>
  </si>
  <si>
    <t>30 - 34</t>
  </si>
  <si>
    <t>35 - 39</t>
  </si>
  <si>
    <t>40 - 44</t>
  </si>
  <si>
    <t>45 - 49</t>
  </si>
  <si>
    <t>50 - 54</t>
  </si>
  <si>
    <t>55 - 59</t>
  </si>
  <si>
    <t>10 - 14</t>
  </si>
  <si>
    <t>Age missing</t>
  </si>
  <si>
    <t xml:space="preserve">0 - 4 </t>
  </si>
  <si>
    <t>5 - 9</t>
  </si>
  <si>
    <t>60 - 64</t>
  </si>
  <si>
    <t>65 - 69</t>
  </si>
  <si>
    <t>70 -74</t>
  </si>
  <si>
    <t>75 -79</t>
  </si>
  <si>
    <t>80+</t>
  </si>
  <si>
    <t xml:space="preserve">Source: 1999 Population and housing census </t>
  </si>
  <si>
    <t xml:space="preserve">Tread in population  </t>
  </si>
  <si>
    <t xml:space="preserve">Intercensal growth rate </t>
  </si>
  <si>
    <t>1969-79</t>
  </si>
  <si>
    <t>1979-89</t>
  </si>
  <si>
    <t>1989-99</t>
  </si>
  <si>
    <t xml:space="preserve">1999 Population by age </t>
  </si>
  <si>
    <t>Source: Kenya Population Census 1979</t>
  </si>
  <si>
    <t xml:space="preserve">Age-specific fertility rates </t>
  </si>
  <si>
    <t>10-14</t>
  </si>
  <si>
    <t xml:space="preserve">Rate per 1000 woman </t>
  </si>
  <si>
    <t>Source: Kenya Census 1979</t>
  </si>
  <si>
    <t>0-1</t>
  </si>
  <si>
    <t>1-5</t>
  </si>
  <si>
    <t>5-10</t>
  </si>
  <si>
    <t>10-15</t>
  </si>
  <si>
    <t>15-20</t>
  </si>
  <si>
    <t>20-25</t>
  </si>
  <si>
    <t>25-30</t>
  </si>
  <si>
    <t>30-35</t>
  </si>
  <si>
    <t>35-40</t>
  </si>
  <si>
    <t>40-45</t>
  </si>
  <si>
    <t>45-50</t>
  </si>
  <si>
    <t>50-55</t>
  </si>
  <si>
    <t>55-60</t>
  </si>
  <si>
    <t>60-65</t>
  </si>
  <si>
    <t>65-70</t>
  </si>
  <si>
    <t>70-75</t>
  </si>
  <si>
    <t>75-80</t>
  </si>
  <si>
    <t>Source: Kenya Population and Housing Census 2009</t>
  </si>
  <si>
    <t>Source: 2009 Population and Housing Census</t>
  </si>
  <si>
    <t>2009 Census - Kenya</t>
  </si>
  <si>
    <t>2009 Census - Nyanza</t>
  </si>
  <si>
    <t>Age-specific mortality rates per 1000</t>
  </si>
  <si>
    <t xml:space="preserve">Age-specific mortality rates </t>
  </si>
  <si>
    <t>TFR (Nyanza)</t>
  </si>
  <si>
    <t>TFR (Kenya)</t>
  </si>
  <si>
    <t xml:space="preserve">% of children dying in the first two years (Nyanza): </t>
  </si>
  <si>
    <t xml:space="preserve">Proportion of population </t>
  </si>
  <si>
    <t>Change in population over time in Kenya</t>
  </si>
  <si>
    <t>1979-1989</t>
  </si>
  <si>
    <t>1989-1999</t>
  </si>
  <si>
    <t>1999-2009</t>
  </si>
  <si>
    <t>Kenya male</t>
  </si>
  <si>
    <t>Nyanza male</t>
  </si>
  <si>
    <t xml:space="preserve">Source: 2009 Population and Housing Census </t>
  </si>
  <si>
    <t xml:space="preserve">Census </t>
  </si>
  <si>
    <t>KDHS</t>
  </si>
  <si>
    <t xml:space="preserve">Childhood </t>
  </si>
  <si>
    <t>Infant</t>
  </si>
  <si>
    <t>Childhood (under 5) mortality rates per 1000 live births</t>
  </si>
  <si>
    <t>Infant (under 1) mortality rates per 1000 live births</t>
  </si>
  <si>
    <t>Adults mortality - probability of dying between age 15 and 60 per 1000</t>
  </si>
  <si>
    <t xml:space="preserve">Age-specific feritlity rates </t>
  </si>
  <si>
    <t>Kenya (2009)</t>
  </si>
  <si>
    <t>Kenya (1999)</t>
  </si>
  <si>
    <t>Nyanza (2009)</t>
  </si>
  <si>
    <t>Total fertility rate</t>
  </si>
  <si>
    <t>Census</t>
  </si>
  <si>
    <t xml:space="preserve">Proportion of Nyanza pop relative to Kenya </t>
  </si>
  <si>
    <t xml:space="preserve">Mean number of lifetime sex partners among men who had had sex </t>
  </si>
  <si>
    <t>Source: DHS 2003</t>
  </si>
  <si>
    <t>HIV positivity among those who accepted HIV testing (Kenya)</t>
  </si>
  <si>
    <t>50-54</t>
  </si>
  <si>
    <t>HIV prevalence</t>
  </si>
  <si>
    <t>20 – 24</t>
  </si>
  <si>
    <t>65-74</t>
  </si>
  <si>
    <t>75-84</t>
  </si>
  <si>
    <t>85+</t>
  </si>
  <si>
    <t>Mortality per 1000</t>
  </si>
  <si>
    <t>% of men and women who had sex by age</t>
  </si>
  <si>
    <t xml:space="preserve">*interpretation: By age 15, 11.6% of women and 20.2% of men had had sex at least once </t>
  </si>
  <si>
    <t xml:space="preserve">% of men and women reporting sexual debut before age 15 </t>
  </si>
  <si>
    <t>Source: KAIS 2012</t>
  </si>
  <si>
    <t>2-3</t>
  </si>
  <si>
    <t>4-5</t>
  </si>
  <si>
    <t>6-9</t>
  </si>
  <si>
    <t>10+</t>
  </si>
  <si>
    <t xml:space="preserve">Don't know </t>
  </si>
  <si>
    <t xml:space="preserve">Lifetime sex partners among women and men aged 15-64 years </t>
  </si>
  <si>
    <t>Number of partners</t>
  </si>
  <si>
    <t xml:space="preserve">Sex partners in the past year among women and men aged 15-64 years </t>
  </si>
  <si>
    <t>2</t>
  </si>
  <si>
    <t>3</t>
  </si>
  <si>
    <t xml:space="preserve">Married/cohabiting </t>
  </si>
  <si>
    <t xml:space="preserve">Noncohabiting </t>
  </si>
  <si>
    <t xml:space="preserve">Causal </t>
  </si>
  <si>
    <t xml:space="preserve">Consistent condom use in the past 12 months by marital status </t>
  </si>
  <si>
    <t xml:space="preserve">Male circumcision among 15-64 years old </t>
  </si>
  <si>
    <t xml:space="preserve">HIV status by circumcision status </t>
  </si>
  <si>
    <t>Circumcised</t>
  </si>
  <si>
    <t>Uncircumcised</t>
  </si>
  <si>
    <t xml:space="preserve">0 to 90 days </t>
  </si>
  <si>
    <t xml:space="preserve">Time from diagnosis to enrollment in care among HIV+ 15-64 years old in care </t>
  </si>
  <si>
    <t xml:space="preserve">91 to 180 days </t>
  </si>
  <si>
    <t xml:space="preserve">180+ days </t>
  </si>
  <si>
    <t xml:space="preserve">CD4 count among HIV+ 15-64 year olds not on ART </t>
  </si>
  <si>
    <t>&lt;350</t>
  </si>
  <si>
    <t>351-500</t>
  </si>
  <si>
    <t>&gt;500+</t>
  </si>
  <si>
    <t xml:space="preserve">% </t>
  </si>
  <si>
    <t>22.6-38.5</t>
  </si>
  <si>
    <t>9.3-19.7</t>
  </si>
  <si>
    <t>47-62.8</t>
  </si>
  <si>
    <t xml:space="preserve">ART coverage </t>
  </si>
  <si>
    <t>Based on Kenyan guidelines</t>
  </si>
  <si>
    <t xml:space="preserve">Unaware, not on ART </t>
  </si>
  <si>
    <t>Aware, on ART</t>
  </si>
  <si>
    <t xml:space="preserve">Aware, not on ART </t>
  </si>
  <si>
    <t xml:space="preserve">Based on 2013 WHO guidelines </t>
  </si>
  <si>
    <t>Kenyan guideline: eligible for ART if ever previously been on ART, regardless of current CD4; and if never been on ART, eligible if CD4 &lt;350</t>
  </si>
  <si>
    <t xml:space="preserve">WHO 2013 guideline: CD4 of &lt;500 </t>
  </si>
  <si>
    <t xml:space="preserve">Coverage was calculated as: persons on ART / person eligible for ART </t>
  </si>
  <si>
    <t xml:space="preserve">Suppressed </t>
  </si>
  <si>
    <t>Not suppressed</t>
  </si>
  <si>
    <t xml:space="preserve">% women aged 15-64 ever screened by HIV statuss </t>
  </si>
  <si>
    <t xml:space="preserve">15-24 years </t>
  </si>
  <si>
    <t>25-29 years</t>
  </si>
  <si>
    <t xml:space="preserve">30-39 years </t>
  </si>
  <si>
    <t xml:space="preserve">40-49 years </t>
  </si>
  <si>
    <t xml:space="preserve">50-64 years </t>
  </si>
  <si>
    <t xml:space="preserve">HIV-infected </t>
  </si>
  <si>
    <t>HIV-uninfected</t>
  </si>
  <si>
    <t>Acute</t>
  </si>
  <si>
    <t>CD4 &gt; 500</t>
  </si>
  <si>
    <t>&gt; 350</t>
  </si>
  <si>
    <t>200-350</t>
  </si>
  <si>
    <t>&lt;200</t>
  </si>
  <si>
    <t>HIV Multiplier</t>
  </si>
  <si>
    <t>0-5</t>
  </si>
  <si>
    <t>5-9</t>
  </si>
  <si>
    <t>50 – 54</t>
  </si>
  <si>
    <t>55 – 59</t>
  </si>
  <si>
    <t>65- 69</t>
  </si>
  <si>
    <t>70 - 74</t>
  </si>
  <si>
    <t>75 - 79</t>
  </si>
  <si>
    <t xml:space="preserve">% of people with 2+ partner in the past 12 months </t>
  </si>
  <si>
    <t>Source: MICS 2011 Nyanza</t>
  </si>
  <si>
    <t xml:space="preserve">% of women with 2+ partner in the past 12 months </t>
  </si>
  <si>
    <t>2+ partners</t>
  </si>
  <si>
    <t xml:space="preserve">0-1 partners </t>
  </si>
  <si>
    <t>Source: Kenya AIDS Progress Report 2016</t>
  </si>
  <si>
    <t>Homa Bay</t>
  </si>
  <si>
    <t>Kisumu</t>
  </si>
  <si>
    <t>Siaya</t>
  </si>
  <si>
    <t>Migori</t>
  </si>
  <si>
    <t># on ART</t>
  </si>
  <si>
    <t># HIV+</t>
  </si>
  <si>
    <t>ART coverage among all HIV+</t>
  </si>
  <si>
    <t># need ART</t>
  </si>
  <si>
    <t xml:space="preserve"># on ART </t>
  </si>
  <si>
    <t>Kisii</t>
  </si>
  <si>
    <t>Nyamira</t>
  </si>
  <si>
    <t>HIV prevalence in 2015</t>
  </si>
  <si>
    <t xml:space="preserve">County </t>
  </si>
  <si>
    <t xml:space="preserve">HIV prevalence </t>
  </si>
  <si>
    <t xml:space="preserve">HIV incidence </t>
  </si>
  <si>
    <t>HIV mortality</t>
  </si>
  <si>
    <t>Adults 15+</t>
  </si>
  <si>
    <t>Female prevalence</t>
  </si>
  <si>
    <t>Male prevalence</t>
  </si>
  <si>
    <t xml:space="preserve">Low </t>
  </si>
  <si>
    <t>Medium</t>
  </si>
  <si>
    <t>High</t>
  </si>
  <si>
    <t xml:space="preserve">High </t>
  </si>
  <si>
    <t>0-4</t>
  </si>
  <si>
    <t>1993 Kenya census for 1990-1992</t>
  </si>
  <si>
    <t>2014 KDHS for 2011-2013</t>
  </si>
  <si>
    <t xml:space="preserve">% of men and women in each risk group by age group and sex </t>
  </si>
  <si>
    <t xml:space="preserve">mean number of partners in each risk group, by age group and sex </t>
  </si>
  <si>
    <t xml:space="preserve">Source: Waruru, 2018. Spatial–temporal trend for mother-to-child transmission of HIV up to infancy and during pre-Option B+ in western Kenya, 2007–13. PeerJ </t>
  </si>
  <si>
    <t>Year</t>
  </si>
  <si>
    <t> 2007</t>
  </si>
  <si>
    <t> 2008</t>
  </si>
  <si>
    <t> 2009</t>
  </si>
  <si>
    <t> 2010</t>
  </si>
  <si>
    <t> 2011</t>
  </si>
  <si>
    <t> 2012</t>
  </si>
  <si>
    <t> 2013</t>
  </si>
  <si>
    <t>Unadjusted MTCT rates</t>
  </si>
  <si>
    <t xml:space="preserve">All of Western Kenya </t>
  </si>
  <si>
    <t>Nyanza counties</t>
  </si>
  <si>
    <t>Homa bay</t>
  </si>
  <si>
    <t>Unadjusted</t>
  </si>
  <si>
    <t>Adjusted</t>
  </si>
  <si>
    <t>Source: Azcoaga-Lorenzo, 2010. Effectiveness of PMTCT programme in rural Western Kenya</t>
  </si>
  <si>
    <t>2006-2008</t>
  </si>
  <si>
    <t>Busia, Kenya</t>
  </si>
  <si>
    <t xml:space="preserve">Rate </t>
  </si>
  <si>
    <t>Source: Kenya AIDS Response Progress Report 2014 and 2016</t>
  </si>
  <si>
    <t>Source: Datta, P. 1994. Mother-To-Child Transmission Of Human Immunodeficiency Virus Type 1: Report From The Nairobi Study</t>
  </si>
  <si>
    <t>1986-1991%</t>
  </si>
  <si>
    <t xml:space="preserve">Adjusted using the direct methods (Working Group on MTCT of HIV, 1993. Rates of Mother-to-Child Transmission of HIV-1 in Africa, America, and Europe: Results from 13 Perinatal Studies) </t>
  </si>
  <si>
    <t>Total (Western Kenya)</t>
  </si>
  <si>
    <t>Mixing</t>
  </si>
  <si>
    <t xml:space="preserve"> (age)</t>
  </si>
  <si>
    <t xml:space="preserve"> (sexual risk)</t>
  </si>
  <si>
    <t xml:space="preserve">Source: SA model parameter </t>
  </si>
  <si>
    <t>Sexual mixing by age and sexual risk group. The mixing parameter varies from random (1) to assortative (0), calibrated to fit age-specific HIV incidence and prevalence data.</t>
  </si>
  <si>
    <t>Source: DHS 2008-2009</t>
  </si>
  <si>
    <t>Weighted HIV positivity among those who consented to testing  (Nyanza)</t>
  </si>
  <si>
    <t>-</t>
  </si>
  <si>
    <t>*about 46% of the female and male population are under 25 years old</t>
  </si>
  <si>
    <t>Source: KAIS 2007</t>
  </si>
  <si>
    <t>ARV coverage among those eligible (&lt;250 CD4 cell counts)</t>
  </si>
  <si>
    <t>Source: 2007 KAIS</t>
  </si>
  <si>
    <t>55-59</t>
  </si>
  <si>
    <t>60-64</t>
  </si>
  <si>
    <t xml:space="preserve">Source: DeVuyst, 2012; Br J Cancer. 2012 Oct 23; 107(9): 1624–1630. </t>
  </si>
  <si>
    <t>HPV HPV among CIN 2/3</t>
  </si>
  <si>
    <t>Any HPV among CIN 2/3</t>
  </si>
  <si>
    <t>30-34 (n=101)</t>
  </si>
  <si>
    <t>35-39 (n=123)</t>
  </si>
  <si>
    <t>40-44 (n=109)</t>
  </si>
  <si>
    <t>&gt;45 (n=103)</t>
  </si>
  <si>
    <t>Source: Menon, 2016; PLoS One. 2016 Oct 20;11(10):e0163965</t>
  </si>
  <si>
    <t xml:space="preserve">LSIL </t>
  </si>
  <si>
    <t>25-55</t>
  </si>
  <si>
    <t>HIV- women</t>
  </si>
  <si>
    <t>*HIV prevalence = 11.49%</t>
  </si>
  <si>
    <t>https://www.ncbi.nlm.nih.gov/pubmed/25875167</t>
  </si>
  <si>
    <t>25-34</t>
  </si>
  <si>
    <t>25-34 (n=235)</t>
  </si>
  <si>
    <t>35-44 (n=246)</t>
  </si>
  <si>
    <t>&gt;45 (n=219)</t>
  </si>
  <si>
    <t xml:space="preserve">*HIV testing was not done as part of the study. But prevalence among pregnant women was about 10% in Mombasa in 2004, when the study took palce. </t>
  </si>
  <si>
    <t xml:space="preserve">Source: DeVuyst, 2010;  Cancer Causes and Control 21: 2309–2313. </t>
  </si>
  <si>
    <t>*HIV testing was done on most women in the study; positivity was 11.5%</t>
  </si>
  <si>
    <t>Source: Maranga, 2013. Open Virol J. 2013; 7: 19–27.</t>
  </si>
  <si>
    <t>21-50</t>
  </si>
  <si>
    <t>HIV+</t>
  </si>
  <si>
    <t xml:space="preserve">HR HPV </t>
  </si>
  <si>
    <t>HIV-</t>
  </si>
  <si>
    <t xml:space="preserve">Source: Rahman, 2011. J Med Virol. 2011 Nov;83(11):1988-96. </t>
  </si>
  <si>
    <t>mean 33.9</t>
  </si>
  <si>
    <t>mean 29.9</t>
  </si>
  <si>
    <t>Year of data collection</t>
  </si>
  <si>
    <t>Source: Yamada, 2008</t>
  </si>
  <si>
    <t>17-19</t>
  </si>
  <si>
    <t>40-61</t>
  </si>
  <si>
    <t>2004-2005</t>
  </si>
  <si>
    <t xml:space="preserve">Year of data collection </t>
  </si>
  <si>
    <t>1998-2000</t>
  </si>
  <si>
    <t>2002-2004</t>
  </si>
  <si>
    <t>Source: Ogembo, 2015; PLoS One. 2015 Apr 14;10(4):e0122488</t>
  </si>
  <si>
    <t xml:space="preserve">*HPV prevalence among women with normal cytology </t>
  </si>
  <si>
    <t>LB</t>
  </si>
  <si>
    <t>UB</t>
  </si>
  <si>
    <t>35-44</t>
  </si>
  <si>
    <t>45-54</t>
  </si>
  <si>
    <t>Africa</t>
  </si>
  <si>
    <t>Systematic review</t>
  </si>
  <si>
    <t>Source: DeVuyst, 2003; Sex Transm Dis. 2003 Feb;30(2):137-42.</t>
  </si>
  <si>
    <t>Source: UNAIDS - Spectrum, 2019</t>
  </si>
  <si>
    <t>Adults (15+) estimate</t>
  </si>
  <si>
    <t>Lower Estimate</t>
  </si>
  <si>
    <t>Upper Estimate</t>
  </si>
  <si>
    <t>Children (0-14) estimate</t>
  </si>
  <si>
    <t>Source: National AIDS Control Council, 2018 Kenya HIV Estimates (Possibly Spectrum)</t>
  </si>
  <si>
    <t xml:space="preserve">Source: National AIDS Control Council - Kenya HIV Estimates 2018 reprot </t>
  </si>
  <si>
    <t>2017 HIV prevalence in adults 15-49</t>
  </si>
  <si>
    <t xml:space="preserve">Source: National AIDS Control Council - Kenya HIV Estimates 2014 report </t>
  </si>
  <si>
    <t xml:space="preserve">HIV prevalence in Nyanza, estimated by Spectrum </t>
  </si>
  <si>
    <t>red text = projections</t>
  </si>
  <si>
    <t>Source: HIV prevention response and transmission - 2009</t>
  </si>
  <si>
    <t>HIV prevalence among ANC attendants age 15-24 in Kenya, 1990-2006</t>
  </si>
  <si>
    <t>Prevalence</t>
  </si>
  <si>
    <t>Coital acts per partnership</t>
  </si>
  <si>
    <t>Males</t>
  </si>
  <si>
    <t>Risk Group</t>
  </si>
  <si>
    <t>Reduction Factor</t>
  </si>
  <si>
    <t>Low</t>
  </si>
  <si>
    <t>0 - 4</t>
  </si>
  <si>
    <t xml:space="preserve">20 -24 </t>
  </si>
  <si>
    <t>50 -54</t>
  </si>
  <si>
    <t>Females</t>
  </si>
  <si>
    <t>Age Group</t>
  </si>
  <si>
    <t>Peak Coital Acts per Partnership</t>
  </si>
  <si>
    <t>Low-Risk</t>
  </si>
  <si>
    <t>Moderate-Risk</t>
  </si>
  <si>
    <t>High-Risk</t>
  </si>
  <si>
    <t>The number of coital acts per partnership by sex, age, and sexual risk group. Values are calibrated to fit age-specific HIV and HPV prevalence data.</t>
  </si>
  <si>
    <t>Peak number of coital acts per partnership. Not currently used.</t>
  </si>
  <si>
    <t xml:space="preserve">Source: SA model parameter (calibrated to SA) </t>
  </si>
  <si>
    <t xml:space="preserve">80% of SA values </t>
  </si>
  <si>
    <t>ART coverage by year and sex among all people living with HIV</t>
  </si>
  <si>
    <t>from survey data</t>
  </si>
  <si>
    <t>Source: Korir, et al 2015. Int J Cancer. 2015 Nov 1;137(9):2053-9.</t>
  </si>
  <si>
    <t>75+</t>
  </si>
  <si>
    <t>Rate per 100,000</t>
  </si>
  <si>
    <t>Age-specific incidnce rates of cervical cancer in Nairobi, 2004-2008</t>
  </si>
  <si>
    <t>Source: Rositch, 2012. Int J STD AIDS. 2012 Jul; 23(7): 468–474.</t>
  </si>
  <si>
    <t xml:space="preserve">10% had sex with more than 1 partner in the past year. In these partnerships, 91% of the partners were 3 (IQR 2-5) years older. </t>
  </si>
  <si>
    <t xml:space="preserve">Condom use with current partner was 20%, and condom use with the other partner was 27%. </t>
  </si>
  <si>
    <t xml:space="preserve">In mulitvariate analysis, age diffrence with current partner was not signficantly associated with HIV, neither is condom use </t>
  </si>
  <si>
    <t xml:space="preserve">Among girls 17-18 years old in Nairobi, 97% had partners who were a median of 5 years older than they were (IQR 3-7). </t>
  </si>
  <si>
    <t>Source: Glynn 2001, AIDS. 2001 Aug;15 Suppl 4:S51-60.</t>
  </si>
  <si>
    <t xml:space="preserve">In all partnerships in this study, men were older than their wives </t>
  </si>
  <si>
    <t>18% of non-marital partnerships among women younger than 20 werew ith men older than 24</t>
  </si>
  <si>
    <t>About 37% of women younger than 20 only had partners who were also younger than 20; 22.2% had any partners who are 24 and older</t>
  </si>
  <si>
    <t>Almost all men younger than 20 only had partners younger than 20; two thrirds of men aged 20-24 only had partners who were younger than 20</t>
  </si>
  <si>
    <t xml:space="preserve">Source: Stover, 2004; </t>
  </si>
  <si>
    <t xml:space="preserve">Defult value used in Spectrum for low resource countries: 32% </t>
  </si>
  <si>
    <t>Source: Stover, 2004</t>
  </si>
  <si>
    <t xml:space="preserve">In Spectrum, HIV+ women over 20 years old had 30% reduced fertility compared to HIV- women of the same age. For women aged 15-19, fertility is 50% higher in HIV+. </t>
  </si>
  <si>
    <t xml:space="preserve">Age-adjusted HR of HIV on risk of pregnancy in Kisumu was 0.82 (0.70-0.96); influence of HIV on birth intervals (ie risk of pregnancy) was the same for those under 20 and those aged 20-29. </t>
  </si>
  <si>
    <t xml:space="preserve">Population in study was 1500 women from two ANC clinics, where HIV prevalence was 30.6%. </t>
  </si>
  <si>
    <t>Source: Glynn, 2000 JAIDS, 25:4</t>
  </si>
  <si>
    <t>Source: Marston, M; 2017; Trop Med Int Health. 2017 Dec; 22(12): 1542–1550.</t>
  </si>
  <si>
    <t xml:space="preserve">HIV+ women younger than 20 did not have higher fertility after years before sexual debut were excluded. The difference in fertility between HIV+ and HIV- women was attenuated when ART increased. </t>
  </si>
  <si>
    <t xml:space="preserve">Sexual mixing patterns in Kenya </t>
  </si>
  <si>
    <t>Source: Luke, 2005, Int Fam Plan Perspect. 2005 Mar;31(1):6-14.</t>
  </si>
  <si>
    <t xml:space="preserve">Among Kisumu men aged 21-45: </t>
  </si>
  <si>
    <t>Age-specific incidence rates of cervical cancer in Eldoret, 2008-2011</t>
  </si>
  <si>
    <t>Rates per 100,000</t>
  </si>
  <si>
    <t>Age-specific incidence rates of cervical cancer in Nairobi, 2007-2011</t>
  </si>
  <si>
    <t>Overall</t>
  </si>
  <si>
    <t xml:space="preserve">HIV+ </t>
  </si>
  <si>
    <t>10/205</t>
  </si>
  <si>
    <t>72/3853</t>
  </si>
  <si>
    <t>Source: Maggwa, 1993; AIDS. 1993 May;7(5):733-8. (full text unavailable)</t>
  </si>
  <si>
    <t>Prevalence of any stage CIN by HIV status among women in Nairobi</t>
  </si>
  <si>
    <t>Source: Kreiss, 1992. Sex Transm Dis. 1992 Jan-Feb;19(1):54-9. (no full text)</t>
  </si>
  <si>
    <t xml:space="preserve">Prevalence of HPV and CIN among sex workers in Nairobi </t>
  </si>
  <si>
    <t xml:space="preserve">HPV </t>
  </si>
  <si>
    <t>CIN</t>
  </si>
  <si>
    <t xml:space="preserve">Source: Patel, 2013. Int J STD AIDS. 2013 Mar;24(3):221-5. doi: 10.1177/0956462412472446. </t>
  </si>
  <si>
    <t>HIV+ FSW</t>
  </si>
  <si>
    <t>18-43</t>
  </si>
  <si>
    <t>FSW</t>
  </si>
  <si>
    <t>HIV- FSW</t>
  </si>
  <si>
    <t>*HIV prevalence in population was 22.97%</t>
  </si>
  <si>
    <t>17-24</t>
  </si>
  <si>
    <t>&gt;40</t>
  </si>
  <si>
    <t>2005-2006</t>
  </si>
  <si>
    <t>23-30</t>
  </si>
  <si>
    <t>31-40</t>
  </si>
  <si>
    <t>&gt;41</t>
  </si>
  <si>
    <t>Data collected 2007</t>
  </si>
  <si>
    <t xml:space="preserve">Age-specific prevalence of CIN2+ among HIV+ women at two HIV clinics in Kisumu </t>
  </si>
  <si>
    <t xml:space="preserve">Prevalence of CIN2+ by nadir CD4 </t>
  </si>
  <si>
    <t>CD4 count</t>
  </si>
  <si>
    <t>201-350</t>
  </si>
  <si>
    <t>&gt;500</t>
  </si>
  <si>
    <t>Source: Huchko, 2014;Int J Cancer. 2014 Feb 1;134(3):740-5.</t>
  </si>
  <si>
    <t>Source: Temmerman, 1998; Sex Transm Infect. 1998 Jun;74(3):202-4.</t>
  </si>
  <si>
    <t xml:space="preserve">Mild </t>
  </si>
  <si>
    <t xml:space="preserve">Moderate </t>
  </si>
  <si>
    <t xml:space="preserve">Severe </t>
  </si>
  <si>
    <t xml:space="preserve">Dysplasia grade </t>
  </si>
  <si>
    <t>Prevalence of cervical dysplasia among women aged 19-54 years in a family planning clinic in Nairobi</t>
  </si>
  <si>
    <t xml:space="preserve">HIV testing was done as part of the study; overall HIV prevalence in this population was 10.2%. </t>
  </si>
  <si>
    <t>LSIL</t>
  </si>
  <si>
    <t xml:space="preserve">Prevalence of cervical abnormality at enrollment among female sex workers, recruited through Sex Workers Outreach Programme Clinic in Nairobi. </t>
  </si>
  <si>
    <t>Source: Njagi, 2013; Public Health Action. 2013 Dec 21; 3(4): 271–275.</t>
  </si>
  <si>
    <t xml:space="preserve">Incidence of any CIN </t>
  </si>
  <si>
    <t>7.9 per 100</t>
  </si>
  <si>
    <t>6.3 per 100</t>
  </si>
  <si>
    <t>Difference by HIV status is not significant</t>
  </si>
  <si>
    <t>Source: De Vuyst 2013; Int J Cancer. 2013 Sep 15; 133(6): 1441–1446.</t>
  </si>
  <si>
    <t>Prevalence of CIN among previously unscreened HIV+ women attending the Coptic Hope Center for Infectious Disease in Nairobi in 2009</t>
  </si>
  <si>
    <t>CIN2</t>
  </si>
  <si>
    <t>CIN3</t>
  </si>
  <si>
    <t xml:space="preserve">Median age in this population was 38.2 years </t>
  </si>
  <si>
    <t xml:space="preserve">Pop size </t>
  </si>
  <si>
    <t>Female 0-14</t>
  </si>
  <si>
    <t>Male 15-64</t>
  </si>
  <si>
    <t>Female 15-64</t>
  </si>
  <si>
    <t>Male 0-14</t>
  </si>
  <si>
    <t>Source: Bailey, 2007; Lancet. 2007 Feb 24;369(9562):643-56.</t>
  </si>
  <si>
    <t xml:space="preserve">Protection from circumcision </t>
  </si>
  <si>
    <t>Source: Weiss, 2000; Male circumcision and risk of HIV infection in sub-Saharan Africa: a systematic review and meta-analysis. AIDS (London, England) 14, 2361-2370 (2000).</t>
  </si>
  <si>
    <t>Crude</t>
  </si>
  <si>
    <t xml:space="preserve">Adjusted </t>
  </si>
  <si>
    <t>High risk men adjusted</t>
  </si>
  <si>
    <t>General pop</t>
  </si>
  <si>
    <t>* Values in blue were originally 0, now they are the averages of the values for age groups above and below</t>
  </si>
  <si>
    <t xml:space="preserve">Source: Sirengo, 2014; J Acquir Immune Defic Syndr. 2014 May 1;66 Suppl 1:S66-74. </t>
  </si>
  <si>
    <t>KAIS 2012 survey, covering 2007-2012</t>
  </si>
  <si>
    <t xml:space="preserve">women who had at least 1 live birth in the past 5 years attended ANC </t>
  </si>
  <si>
    <t>of the above, women who acceted HIV testing</t>
  </si>
  <si>
    <t>Of those test, women who received resulst</t>
  </si>
  <si>
    <t>Of those who had results, women who were diagnosed with HIV</t>
  </si>
  <si>
    <t xml:space="preserve">Of diagnosed mothers, infants that received HIV testing </t>
  </si>
  <si>
    <t>Of those infants tested, % positive for HIV</t>
  </si>
  <si>
    <t xml:space="preserve">Source: Pricilla, 2018; Matern Child Health J. 2018 Dec;22(12):1685-1692. </t>
  </si>
  <si>
    <t xml:space="preserve">MTCT at four government hospitals in Nairobi, Nandi, and Kericho </t>
  </si>
  <si>
    <t>2013-2016</t>
  </si>
  <si>
    <t>HIV positivity among HIV-exposed infants in South Rift region between Jan 1 2013 and Dec 31, 2013</t>
  </si>
  <si>
    <t>Overall positivity</t>
  </si>
  <si>
    <t>Source: Ashiono, 2017; BMC Public Health. 2017 Feb 17;17(1):207.</t>
  </si>
  <si>
    <t xml:space="preserve">Kisumu Breastfeeding Study (2003-2006): HIV transmission rates among mothers on ART </t>
  </si>
  <si>
    <t xml:space="preserve">Cumulative transmission rates </t>
  </si>
  <si>
    <t>Infant age in months</t>
  </si>
  <si>
    <t xml:space="preserve">6 months </t>
  </si>
  <si>
    <t>4.7 (2.5–8.8)</t>
  </si>
  <si>
    <t>7.4 (4.4–12.1)</t>
  </si>
  <si>
    <t>8.0 (4.9–12.8)</t>
  </si>
  <si>
    <t>8.6 (5.3–13.6)</t>
  </si>
  <si>
    <t>350–499</t>
  </si>
  <si>
    <t>0.7 (0.1–5.1)</t>
  </si>
  <si>
    <t>3.8 (1.6–9.0)</t>
  </si>
  <si>
    <t>5.5 (2.7–11.2)</t>
  </si>
  <si>
    <t>7.2 (3.8–13.4)</t>
  </si>
  <si>
    <t>8.1 (4.4–14.5)</t>
  </si>
  <si>
    <t>≥500</t>
  </si>
  <si>
    <t>1.3 (0.3–5.0)</t>
  </si>
  <si>
    <t>3.3 (1.4–7.7)</t>
  </si>
  <si>
    <t>4.1 (1.8–8.8)</t>
  </si>
  <si>
    <t>&lt;500</t>
  </si>
  <si>
    <t>3.0 (1.6–5.6)</t>
  </si>
  <si>
    <t>5.9 (3.8–9.1)</t>
  </si>
  <si>
    <t>6.9 (4.6–10.3)</t>
  </si>
  <si>
    <t>8.0 (5.5–11.6)</t>
  </si>
  <si>
    <t>8.4 (5.8–12.0)</t>
  </si>
  <si>
    <t>At birth</t>
  </si>
  <si>
    <t>6 months</t>
  </si>
  <si>
    <t xml:space="preserve">12 months </t>
  </si>
  <si>
    <t xml:space="preserve">18 months </t>
  </si>
  <si>
    <t xml:space="preserve">24 months </t>
  </si>
  <si>
    <t>Cumulative transmission rate by maternal baseline CD4 and viral load</t>
  </si>
  <si>
    <t>&lt;400</t>
  </si>
  <si>
    <t>3.7 (0.5–23.5)</t>
  </si>
  <si>
    <t>400–9,999</t>
  </si>
  <si>
    <t>0.9 (0.1–6.2)</t>
  </si>
  <si>
    <t>1.9 (0.5–7.2)</t>
  </si>
  <si>
    <t>2.8 (0.9–8.5)</t>
  </si>
  <si>
    <t>10,000–49,999</t>
  </si>
  <si>
    <t>3.6 (1.5–8.4)</t>
  </si>
  <si>
    <t>5.8 (2.9–11.3)</t>
  </si>
  <si>
    <t>6.6 (3.5–12.3)</t>
  </si>
  <si>
    <t>8.3 (4.7–14.6)</t>
  </si>
  <si>
    <t>≥50,000</t>
  </si>
  <si>
    <t>2.4 (1.0–5.7)</t>
  </si>
  <si>
    <t>6.5 (3.8–11.0)</t>
  </si>
  <si>
    <t>7.1 (4.3–11.7)</t>
  </si>
  <si>
    <t>8.3 (5.2–13.2)</t>
  </si>
  <si>
    <t>8.9 (5.6–14.0)</t>
  </si>
  <si>
    <t>&lt;10,000</t>
  </si>
  <si>
    <t>1.4 (0.4–5.6)</t>
  </si>
  <si>
    <t>2.2 (0.7–6.7)</t>
  </si>
  <si>
    <t>3.0 (1.1–7.8)</t>
  </si>
  <si>
    <t>≥10,000</t>
  </si>
  <si>
    <t>2.9 (1.6–5.3)</t>
  </si>
  <si>
    <t>6.2 (4.1–9.4)</t>
  </si>
  <si>
    <t>6.9 (4.6–10.2)</t>
  </si>
  <si>
    <t>8.3 (5.8–11.9)</t>
  </si>
  <si>
    <t>8.7 (6.1–12.3)</t>
  </si>
  <si>
    <t>Source: Thomas, 2011; PLoS Med. 2011 Mar; 8(3): e1001015.</t>
  </si>
  <si>
    <t>MEN</t>
  </si>
  <si>
    <t>WOMEN</t>
  </si>
  <si>
    <t>CD4 categories in adult males</t>
  </si>
  <si>
    <t>CD4 categories in adult females</t>
  </si>
  <si>
    <t>&lt;50</t>
  </si>
  <si>
    <t>50-99</t>
  </si>
  <si>
    <t>100-199</t>
  </si>
  <si>
    <t>200-249</t>
  </si>
  <si>
    <t>250-349</t>
  </si>
  <si>
    <t>350-500</t>
  </si>
  <si>
    <t>&lt;6 months after ART initiation</t>
  </si>
  <si>
    <t xml:space="preserve">   15-24 years</t>
  </si>
  <si>
    <t>(9.94-23.64)</t>
  </si>
  <si>
    <t>(5.17-13.79)</t>
  </si>
  <si>
    <t>(3.16-8.89)</t>
  </si>
  <si>
    <t>(1.79-6.75)</t>
  </si>
  <si>
    <t>(1.34-4.18)</t>
  </si>
  <si>
    <t>(1.35-6.08)</t>
  </si>
  <si>
    <t>(1.23-7.38)</t>
  </si>
  <si>
    <t>(7.28-17.31)</t>
  </si>
  <si>
    <t>(3.88-9.76)</t>
  </si>
  <si>
    <t>(2.41-6.31)</t>
  </si>
  <si>
    <t>(1.42-4.74)</t>
  </si>
  <si>
    <t>(0.96-2.92)</t>
  </si>
  <si>
    <t>(0.99-4.34)</t>
  </si>
  <si>
    <t>(0.89-5.44)</t>
  </si>
  <si>
    <t xml:space="preserve">   25-34 years</t>
  </si>
  <si>
    <t>(12.75-20.41)</t>
  </si>
  <si>
    <t>(6.52-12.53)</t>
  </si>
  <si>
    <t>(4.01-7.99)</t>
  </si>
  <si>
    <t>(2.23-6.23)</t>
  </si>
  <si>
    <t>(1.57-3.8)</t>
  </si>
  <si>
    <t>(1.56-5.93)</t>
  </si>
  <si>
    <t>(1.29-8.02)</t>
  </si>
  <si>
    <t>(9.21-15.28)</t>
  </si>
  <si>
    <t>(4.82-9.12)</t>
  </si>
  <si>
    <t>(3.06-5.56)</t>
  </si>
  <si>
    <t>(1.69-4.5)</t>
  </si>
  <si>
    <t>(1.17-2.73)</t>
  </si>
  <si>
    <t>(1.16-4.22)</t>
  </si>
  <si>
    <t>(0.94-5.94)</t>
  </si>
  <si>
    <t xml:space="preserve">   35-44 years</t>
  </si>
  <si>
    <t>(14.6-22.48)</t>
  </si>
  <si>
    <t>(7.6-13.81)</t>
  </si>
  <si>
    <t>(4.52-8.43)</t>
  </si>
  <si>
    <t>(2.51-7.07)</t>
  </si>
  <si>
    <t>(1.74-4.32)</t>
  </si>
  <si>
    <t>(1.7-6.75)</t>
  </si>
  <si>
    <t>(1.47-8.98)</t>
  </si>
  <si>
    <t>(10.08-17.12)</t>
  </si>
  <si>
    <t>(5.4-10.35)</t>
  </si>
  <si>
    <t>(3.29-6.32)</t>
  </si>
  <si>
    <t>(1.83-5.14)</t>
  </si>
  <si>
    <t>(1.26-3.18)</t>
  </si>
  <si>
    <t>(1.29-4.74)</t>
  </si>
  <si>
    <t>(1.08-6.58)</t>
  </si>
  <si>
    <t xml:space="preserve">   45+ years</t>
  </si>
  <si>
    <t>(18.88-30.5)</t>
  </si>
  <si>
    <t>(9.88-18.33)</t>
  </si>
  <si>
    <t>(6.05-11.69)</t>
  </si>
  <si>
    <t>(3.34-9.21)</t>
  </si>
  <si>
    <t>(2.34-5.76)</t>
  </si>
  <si>
    <t>(2.21-9.07)</t>
  </si>
  <si>
    <t>(1.92-12.19)</t>
  </si>
  <si>
    <t>(13.19-23.27)</t>
  </si>
  <si>
    <t>(7.15-13.75)</t>
  </si>
  <si>
    <t>(4.33-8.54)</t>
  </si>
  <si>
    <t>(2.51-6.82)</t>
  </si>
  <si>
    <t>(1.7-4.14)</t>
  </si>
  <si>
    <t>(1.65-6.66)</t>
  </si>
  <si>
    <t>(1.36-9.19)</t>
  </si>
  <si>
    <t>6-12 months after ART initiation</t>
  </si>
  <si>
    <t>(5.24-24.12)</t>
  </si>
  <si>
    <t>(3.25-15.37)</t>
  </si>
  <si>
    <t>(2.09-9.81)</t>
  </si>
  <si>
    <t>(1.37-8.91)</t>
  </si>
  <si>
    <t>(1.55-8.62)</t>
  </si>
  <si>
    <t>(2.27-16.69)</t>
  </si>
  <si>
    <t>(0.91-7.66)</t>
  </si>
  <si>
    <t>(3.7-17.03)</t>
  </si>
  <si>
    <t>(2.42-10.96)</t>
  </si>
  <si>
    <t>(1.52-7.02)</t>
  </si>
  <si>
    <t>(1.04-6.05)</t>
  </si>
  <si>
    <t>(1.13-6.23)</t>
  </si>
  <si>
    <t>(1.63-11.51)</t>
  </si>
  <si>
    <t>(0.65-5.06)</t>
  </si>
  <si>
    <t>(5.1-12.05)</t>
  </si>
  <si>
    <t>(3.22-8.06)</t>
  </si>
  <si>
    <t>(1.97-5.42)</t>
  </si>
  <si>
    <t>(1.29-5.09)</t>
  </si>
  <si>
    <t>(1.48-4.88)</t>
  </si>
  <si>
    <t>(1.83-10.18)</t>
  </si>
  <si>
    <t>(0.69-4.89)</t>
  </si>
  <si>
    <t>(3.67-8.71)</t>
  </si>
  <si>
    <t>(2.37-5.8)</t>
  </si>
  <si>
    <t>(1.42-3.79)</t>
  </si>
  <si>
    <t>(0.96-3.39)</t>
  </si>
  <si>
    <t>(1.11-3.23)</t>
  </si>
  <si>
    <t>(1.25-7.07)</t>
  </si>
  <si>
    <t>(0.52-3.16)</t>
  </si>
  <si>
    <t>(5.19-11.19)</t>
  </si>
  <si>
    <t>(3.17-7.79)</t>
  </si>
  <si>
    <t>(1.93-5)</t>
  </si>
  <si>
    <t>(1.24-4.91)</t>
  </si>
  <si>
    <t>(1.44-4.47)</t>
  </si>
  <si>
    <t>(1.69-10.34)</t>
  </si>
  <si>
    <t>(0.66-4.72)</t>
  </si>
  <si>
    <t>(3.59-8.47)</t>
  </si>
  <si>
    <t>(2.18-5.7)</t>
  </si>
  <si>
    <t>(1.41-3.55)</t>
  </si>
  <si>
    <t>(0.92-3.31)</t>
  </si>
  <si>
    <t>(1.05-3.14)</t>
  </si>
  <si>
    <t>(1.16-7.09)</t>
  </si>
  <si>
    <t>(0.47-3.12)</t>
  </si>
  <si>
    <t>(6.13-13.27)</t>
  </si>
  <si>
    <t>(3.91-9.04)</t>
  </si>
  <si>
    <t>(2.35-5.92)</t>
  </si>
  <si>
    <t>(1.46-5.81)</t>
  </si>
  <si>
    <t>(1.68-5.35)</t>
  </si>
  <si>
    <t>(2.04-12.33)</t>
  </si>
  <si>
    <t>(0.76-5.74)</t>
  </si>
  <si>
    <t>(4.3-9.84)</t>
  </si>
  <si>
    <t>(2.73-6.62)</t>
  </si>
  <si>
    <t>(1.67-4.16)</t>
  </si>
  <si>
    <t>(1.14-4.11)</t>
  </si>
  <si>
    <t>(1.23-3.67)</t>
  </si>
  <si>
    <t>(1.45-8.72)</t>
  </si>
  <si>
    <t>(0.57-3.79)</t>
  </si>
  <si>
    <t>&gt;12 months after ART initiation</t>
  </si>
  <si>
    <t>(2.72-12.13)</t>
  </si>
  <si>
    <t>(1.72-8.29)</t>
  </si>
  <si>
    <t>2.4 (1.12-5.31)</t>
  </si>
  <si>
    <t>(0.72-4.73)</t>
  </si>
  <si>
    <t>(0.81-4.58)</t>
  </si>
  <si>
    <t>(1.17-9.21)</t>
  </si>
  <si>
    <t>(0.47-4.16)</t>
  </si>
  <si>
    <t>(2.02-9.01)</t>
  </si>
  <si>
    <t>(1.33-5.81)</t>
  </si>
  <si>
    <t>(0.84-3.71)</t>
  </si>
  <si>
    <t>(0.54-3.3)</t>
  </si>
  <si>
    <t>(0.61-3.34)</t>
  </si>
  <si>
    <t>(0.87-6.4)</t>
  </si>
  <si>
    <t>(0.35-2.77)</t>
  </si>
  <si>
    <t>(2.8-6.44)</t>
  </si>
  <si>
    <t>(1.79-4.33)</t>
  </si>
  <si>
    <t>(1.07-2.87)</t>
  </si>
  <si>
    <t>(0.69-2.76)</t>
  </si>
  <si>
    <t>(0.81-2.63)</t>
  </si>
  <si>
    <t>(0.91-5.54)</t>
  </si>
  <si>
    <t>(0.36-2.62)</t>
  </si>
  <si>
    <t>(2.04-4.71)</t>
  </si>
  <si>
    <t>(1.3-3.09)</t>
  </si>
  <si>
    <t>(0.8-2.02)</t>
  </si>
  <si>
    <t>(0.54-1.84)</t>
  </si>
  <si>
    <t>(0.6-1.78)</t>
  </si>
  <si>
    <t>(0.66-3.81)</t>
  </si>
  <si>
    <t>(0.27-1.78)</t>
  </si>
  <si>
    <t>(2.86-5.78)</t>
  </si>
  <si>
    <t>(1.75-4.15)</t>
  </si>
  <si>
    <t>(1.07-2.64)</t>
  </si>
  <si>
    <t>(0.71-2.62)</t>
  </si>
  <si>
    <t>(0.79-2.42)</t>
  </si>
  <si>
    <t>(0.88-5.86)</t>
  </si>
  <si>
    <t>(0.35-2.6)</t>
  </si>
  <si>
    <t>(2.02-4.32)</t>
  </si>
  <si>
    <t>(1.19-3.06)</t>
  </si>
  <si>
    <t>(0.78-1.86)</t>
  </si>
  <si>
    <t>(0.51-1.82)</t>
  </si>
  <si>
    <t>(0.57-1.66)</t>
  </si>
  <si>
    <t>(0.63-4.2)</t>
  </si>
  <si>
    <t>(0.27-1.73)</t>
  </si>
  <si>
    <t>(3.41-6.93)</t>
  </si>
  <si>
    <t>(2.18-4.62)</t>
  </si>
  <si>
    <t>(0.84-3.04)</t>
  </si>
  <si>
    <t>(0.93-2.94)</t>
  </si>
  <si>
    <t>(1.07-6.37)</t>
  </si>
  <si>
    <t>(0.43-3.19)</t>
  </si>
  <si>
    <t>(2.39-5.11)</t>
  </si>
  <si>
    <t>(1.53-3.42)</t>
  </si>
  <si>
    <t>(0.94-2.2)</t>
  </si>
  <si>
    <t>(0.62-2.09)</t>
  </si>
  <si>
    <t>(0.68-2.03)</t>
  </si>
  <si>
    <t>(0.76-4.71)</t>
  </si>
  <si>
    <t>(0.32-2.04)</t>
  </si>
  <si>
    <t>Source: Anderegg, 2017; AIDS: April 2017 - Volume 31 - Issue - p S31–S40</t>
  </si>
  <si>
    <t xml:space="preserve">Corrected mortality rates (per 100 person years) including 95% confidence intervals for East Africa (all cohorts). Corrected for lost to follow up in a patient tracing study in Kenya. </t>
  </si>
  <si>
    <t>45+</t>
  </si>
  <si>
    <t xml:space="preserve"> 31.4/1000</t>
  </si>
  <si>
    <t xml:space="preserve">Under 5 mortality due to HIV; estimated from DHS </t>
  </si>
  <si>
    <t>Source: Adetunji, 2000; Bulletin of the World Health Organization, 2000, 78: 1200–1206.</t>
  </si>
  <si>
    <t>Source: Negin, 2010; J Acquir Immune Defic Syndr   Volume 55, Number 2, October 1, 2010</t>
  </si>
  <si>
    <t>HIV mortality among older adults in Nyanza 2008-2009</t>
  </si>
  <si>
    <t>65-69</t>
  </si>
  <si>
    <t>70-74</t>
  </si>
  <si>
    <t>75-79</t>
  </si>
  <si>
    <t>All-cause</t>
  </si>
  <si>
    <t>HIV %</t>
  </si>
  <si>
    <t>HIV-mort rate</t>
  </si>
  <si>
    <t xml:space="preserve">Source: Streatfield, 2014 </t>
  </si>
  <si>
    <t>5 - 14 yo</t>
  </si>
  <si>
    <t>2010-2012</t>
  </si>
  <si>
    <t>HIV-negative Fertility %</t>
  </si>
  <si>
    <t xml:space="preserve">Source: Cancer in Sub-Saharan Africa, IARC publication </t>
  </si>
  <si>
    <t xml:space="preserve">Source: Cancer in Sub-Sahara Africa III, in press </t>
  </si>
  <si>
    <t>Age-specific incidence rates of cervical cancer in Eldoret, 2012-2016</t>
  </si>
  <si>
    <t>ASR</t>
  </si>
  <si>
    <t xml:space="preserve">Kisumu </t>
  </si>
  <si>
    <t>Chulaimbo</t>
  </si>
  <si>
    <t>Suba</t>
  </si>
  <si>
    <t>Tabaka</t>
  </si>
  <si>
    <t>ANC HIV prevalence estimates from Nyanza, 1990-2011</t>
  </si>
  <si>
    <t xml:space="preserve">Infant </t>
  </si>
  <si>
    <t>1 - 4 yo</t>
  </si>
  <si>
    <t xml:space="preserve">15- 49 </t>
  </si>
  <si>
    <t xml:space="preserve">50- 64 </t>
  </si>
  <si>
    <t xml:space="preserve">65+ </t>
  </si>
  <si>
    <t xml:space="preserve">Nairobi </t>
  </si>
  <si>
    <t xml:space="preserve">Kilifi </t>
  </si>
  <si>
    <t>Source: Kenya ANC Sentinel Surveillance Reprot, 2011</t>
  </si>
  <si>
    <t>Source: Hawken, 2002; JAIDS, 31: 529-535</t>
  </si>
  <si>
    <t xml:space="preserve">HIV prevalence in a population-based survey in Mombasa; 56.07% agreed to HIV testing </t>
  </si>
  <si>
    <t>Source: Glynn, 2001; AIDS September 7th, 2001 - Volume 15 - Issue 13 - p 1717-1725</t>
  </si>
  <si>
    <t xml:space="preserve">The two clinics covered 80% of pregnant women in the city. In the gen pop, 75% of women and 65% of men were both interviewed and HIV-tested </t>
  </si>
  <si>
    <t>ANC</t>
  </si>
  <si>
    <t>Gen pop</t>
  </si>
  <si>
    <t>UN</t>
  </si>
  <si>
    <t>All women</t>
  </si>
  <si>
    <t>Total pop</t>
  </si>
  <si>
    <t xml:space="preserve">Women </t>
  </si>
  <si>
    <t>Men</t>
  </si>
  <si>
    <t>Age-standardized (15-40 years old)</t>
  </si>
  <si>
    <t xml:space="preserve">HIV prevalence in two ANC clinics in Kisumu compared to the general population in Kisumu (surveyed); 1997-1998 </t>
  </si>
  <si>
    <t xml:space="preserve">HIV prevalence of men estimated based on reported status of the fathers vs HIV prevalence measured in men in survey </t>
  </si>
  <si>
    <t>20-29</t>
  </si>
  <si>
    <t>all ages</t>
  </si>
  <si>
    <t>HIV-associated mortality rates per 1000 PY at INDEPTH sites</t>
  </si>
  <si>
    <t xml:space="preserve">Source: AIDSinfo (UNAIDS special analysis, 2019) </t>
  </si>
  <si>
    <t>Kenya - original</t>
  </si>
  <si>
    <t xml:space="preserve">Kenya - original </t>
  </si>
  <si>
    <t>Kenya - edited</t>
  </si>
  <si>
    <t>* values in orange was reduced by 40% from the original value</t>
  </si>
  <si>
    <t xml:space="preserve">N pos </t>
  </si>
  <si>
    <t>Total N</t>
  </si>
  <si>
    <t xml:space="preserve">Source: Luchters, 2010 BMC Infect Dis. 2010 Jan 26;10:18.  </t>
  </si>
  <si>
    <t>Source: Ermel, et al 2019. BMC Infect Dis. 2019; 19: 352.</t>
  </si>
  <si>
    <t xml:space="preserve">Baseline assessment of a longitudinal cohort study of HIV pos and neg women. Women attending cervical cancer screening and were VIA-negative were invited to participate. To be eligible, women had to live within 30km if Eloret, have no history of cervical abnormalities, willing to return every quarter for 4 years, and STI-negative at enrollment. </t>
  </si>
  <si>
    <t>Eldoret</t>
  </si>
  <si>
    <t>Mean 37</t>
  </si>
  <si>
    <t>N pos</t>
  </si>
  <si>
    <t>N total</t>
  </si>
  <si>
    <t>≥2 Types Any HPV</t>
  </si>
  <si>
    <t>≥2 Types HR-HPV</t>
  </si>
  <si>
    <t>HR-HPV (including possible HR)</t>
  </si>
  <si>
    <t>IARC HR-HPV (not including possible)</t>
  </si>
  <si>
    <t>A9 (HPV 16, 31, 33, 35, 52, 58)</t>
  </si>
  <si>
    <t>HPV 31, 33, 35, 52, 58</t>
  </si>
  <si>
    <t>A7 (HPV 18, 39, 45, 59, 68)</t>
  </si>
  <si>
    <t>HPV 39, 45, 59, 68</t>
  </si>
  <si>
    <t>Any LR-HPV</t>
  </si>
  <si>
    <t>Mean 31</t>
  </si>
  <si>
    <t>Source: UN Department of Economic and Social Affairs, World Population Prospects, 2019</t>
  </si>
  <si>
    <t>Period</t>
  </si>
  <si>
    <t>1950-1955</t>
  </si>
  <si>
    <t>1955-1960</t>
  </si>
  <si>
    <t>1960-1965</t>
  </si>
  <si>
    <t>1965-1970</t>
  </si>
  <si>
    <t>1970-1975</t>
  </si>
  <si>
    <t>1975-1980</t>
  </si>
  <si>
    <t>1980-1985</t>
  </si>
  <si>
    <t>1985-1990</t>
  </si>
  <si>
    <t>1990-1995</t>
  </si>
  <si>
    <t>1995-2000</t>
  </si>
  <si>
    <t>2000-2005</t>
  </si>
  <si>
    <t>2005-2010</t>
  </si>
  <si>
    <t>2010-2015</t>
  </si>
  <si>
    <t>2015-2020</t>
  </si>
  <si>
    <t>2020-2025</t>
  </si>
  <si>
    <t>2025-2030</t>
  </si>
  <si>
    <t>2030-2035</t>
  </si>
  <si>
    <t>2035-2040</t>
  </si>
  <si>
    <t>2040-2045</t>
  </si>
  <si>
    <t>2045-2050</t>
  </si>
  <si>
    <t>2050-2055</t>
  </si>
  <si>
    <t>2055-2060</t>
  </si>
  <si>
    <t>2060-2065</t>
  </si>
  <si>
    <t>2065-2070</t>
  </si>
  <si>
    <t>2070-2075</t>
  </si>
  <si>
    <t>2075-2080</t>
  </si>
  <si>
    <t>2080-2085</t>
  </si>
  <si>
    <t>2085-2090</t>
  </si>
  <si>
    <t>2090-2095</t>
  </si>
  <si>
    <t>2095-2100</t>
  </si>
  <si>
    <t>Births per 1000 women</t>
  </si>
  <si>
    <t>Source: UN Department of Economic and Social Affairs: World Population Prospects 2019</t>
  </si>
  <si>
    <t xml:space="preserve">Females </t>
  </si>
  <si>
    <t>HIV negative</t>
  </si>
  <si>
    <t>1985-1999</t>
  </si>
  <si>
    <t>Age 0</t>
  </si>
  <si>
    <t>Age 1-4</t>
  </si>
  <si>
    <t>Mort rate</t>
  </si>
  <si>
    <t xml:space="preserve">female </t>
  </si>
  <si>
    <t>Avg mort</t>
  </si>
  <si>
    <t>pop %</t>
  </si>
  <si>
    <t xml:space="preserve">1950 Age-specific fertility rates </t>
  </si>
  <si>
    <t xml:space="preserve">*values for women same as men </t>
  </si>
  <si>
    <t>The prevalence of HIV in invasive cervical cancer patients in Kenya is 15%.</t>
  </si>
  <si>
    <t>Model</t>
  </si>
  <si>
    <t>Based on fertility input from 1950</t>
  </si>
  <si>
    <t>Source: KAIS 2012  (validation target)</t>
  </si>
  <si>
    <t>All men</t>
  </si>
  <si>
    <t>*Plotly from figure</t>
  </si>
  <si>
    <t xml:space="preserve">Viral suppression among those taking ART </t>
  </si>
  <si>
    <t>Source: Kenya HIV estimates 2018</t>
  </si>
  <si>
    <t># need ART (all HIV+)</t>
  </si>
  <si>
    <t xml:space="preserve">On ART </t>
  </si>
  <si>
    <t>% coverage</t>
  </si>
  <si>
    <t>*need ART = eligible for ART according to Kenyan guidelines</t>
  </si>
  <si>
    <t xml:space="preserve">Number of ART-eligible under Kenya guidelines </t>
  </si>
  <si>
    <t xml:space="preserve">Number on ART </t>
  </si>
  <si>
    <t xml:space="preserve">Coverage % </t>
  </si>
  <si>
    <t xml:space="preserve">Number VS </t>
  </si>
  <si>
    <t xml:space="preserve">% suppressed among those on ART </t>
  </si>
  <si>
    <t>Source: Kim, 2016, https://www.ncbi.nlm.nih.gov/pmc/articles/PMC4773218/</t>
  </si>
  <si>
    <t>Nyanza (2012 KAIS)</t>
  </si>
  <si>
    <t>Source: Kenya PHIA 2018 Prelim report https://phia.icap.columbia.edu/wp-content/uploads/2020/02/KENPHIA-2018_Preliminary-Report_final-web.pdf</t>
  </si>
  <si>
    <t>Prevalence of viral suppression among all people living with HIV (regardless of ART use)</t>
  </si>
  <si>
    <t>County</t>
  </si>
  <si>
    <t>weighted prevalence</t>
  </si>
  <si>
    <t>Prevalence of viral load suppression by age and sex (national)</t>
  </si>
  <si>
    <t>0-14</t>
  </si>
  <si>
    <t>34-44</t>
  </si>
  <si>
    <t>55-64</t>
  </si>
  <si>
    <t>90-90-90 target</t>
  </si>
  <si>
    <t>VS</t>
  </si>
  <si>
    <t>15-64 women</t>
  </si>
  <si>
    <t>15-64 men</t>
  </si>
  <si>
    <t xml:space="preserve">Diagnosed </t>
  </si>
  <si>
    <t>On ART</t>
  </si>
  <si>
    <t>VMMC</t>
  </si>
  <si>
    <t>non-medical circumcision</t>
  </si>
  <si>
    <t>Total circumcised</t>
  </si>
  <si>
    <t>Unknown</t>
  </si>
  <si>
    <t>RR</t>
  </si>
  <si>
    <t>90-90-90 target: among all PLHIV</t>
  </si>
  <si>
    <t>Avg</t>
  </si>
  <si>
    <t>ARV coverage among all PLHIV</t>
  </si>
  <si>
    <t>Source: Kenya AIDS Progress Report 2014</t>
  </si>
  <si>
    <t xml:space="preserve">Total number on ART </t>
  </si>
  <si>
    <t>Total PLHIV</t>
  </si>
  <si>
    <t xml:space="preserve">ART Coverage </t>
  </si>
  <si>
    <t xml:space="preserve">Source: Mecha, 2018. Retention in care </t>
  </si>
  <si>
    <t xml:space="preserve">Source: Loss to HIV care in Western Kenya </t>
  </si>
  <si>
    <t>https://www.ncbi.nlm.nih.gov/pmc/articles/PMC2930357/</t>
  </si>
  <si>
    <t>Source: Gargano, JW, 2012  https://journals.lww.com/aidsonline/fulltext/2012/07310/The_adult_population_impact_of_HIV_care_and.12.aspx</t>
  </si>
  <si>
    <t xml:space="preserve">on ART </t>
  </si>
  <si>
    <t>PLHIV (based on 14.9% HIV prevalence)</t>
  </si>
  <si>
    <t>coverage among eligible</t>
  </si>
  <si>
    <t>coverage among PLHIV</t>
  </si>
  <si>
    <t>% viral suppression among those on ART (Kenya):</t>
  </si>
  <si>
    <t>%virally suppresion among all PLHIV</t>
  </si>
  <si>
    <t xml:space="preserve">Source: </t>
  </si>
  <si>
    <t>Source: population_validation_targets_kenya.xlsx</t>
  </si>
  <si>
    <t>VS% from KAIS</t>
  </si>
  <si>
    <t xml:space="preserve">RR of HIV among circumcised vs uncircumcised men </t>
  </si>
  <si>
    <t>Source: Smith 2010, Prevalence and Risk Factors of Human Papillomavirus Infection by Penile Site in Uncircumcised Kenyan Men</t>
  </si>
  <si>
    <t> 18–20</t>
  </si>
  <si>
    <t>    21–25</t>
  </si>
  <si>
    <t>    26–30</t>
  </si>
  <si>
    <t>    31–40</t>
  </si>
  <si>
    <t>    &gt;40</t>
  </si>
  <si>
    <t>Source: Ng'ayo, 2008. Epidemiology of human papillomavirus infection among fishermen along Lake Victoria Shore in the Kisumu District, Kenya</t>
  </si>
  <si>
    <t>% positive for any HPV</t>
  </si>
  <si>
    <t>Crude rate for all ages</t>
  </si>
  <si>
    <t>Source: ICO report Kenya, 2018/GLOBOCAN</t>
  </si>
  <si>
    <t>50-59</t>
  </si>
  <si>
    <t>70+</t>
  </si>
  <si>
    <t xml:space="preserve">% women aged 18-69 who had been screened with Pap in the last 3 years </t>
  </si>
  <si>
    <t xml:space="preserve">Source: Globocan 2008 </t>
  </si>
  <si>
    <t>East Africa</t>
  </si>
  <si>
    <t>Source: Kenya World Health Survey, 2003 https://www.who.int/healthinfo/survey/whsken-kenya.pdf and Gakidou, 2008 https://www.ncbi.nlm.nih.gov/pmc/articles/PMC2429949/</t>
  </si>
  <si>
    <t>Gakidou, weighted and age-standardized</t>
  </si>
  <si>
    <t>WHS raw data, weighted</t>
  </si>
  <si>
    <t>age group</t>
  </si>
  <si>
    <t>% screened in past 3 years</t>
  </si>
  <si>
    <t xml:space="preserve">all ages </t>
  </si>
  <si>
    <t>ages 0-74</t>
  </si>
  <si>
    <t xml:space="preserve">ASR </t>
  </si>
  <si>
    <t>Nairobi 2007-2011</t>
  </si>
  <si>
    <t>Eldoret 2008-2011</t>
  </si>
  <si>
    <t>Nairobi 2004-2008</t>
  </si>
  <si>
    <t>Source: GBD, Kenya 2018</t>
  </si>
  <si>
    <t>Assuming rates are for HIV-negative women</t>
  </si>
  <si>
    <t xml:space="preserve">HSIL </t>
  </si>
  <si>
    <t>hrHPV</t>
  </si>
  <si>
    <t>Baseline prevalence of HPV and CIN among FSW in Nairobi clinic, data collected 2009-2011. Median age among the women was 28, the age range was 18-48. The median duration of sex work was 16 years (range, 10–25), with a median of 10 (range, 2–40) sexual clients per week.</t>
  </si>
  <si>
    <t xml:space="preserve">All ages </t>
  </si>
  <si>
    <t xml:space="preserve">Adults </t>
  </si>
  <si>
    <t>Total adult PLHIV</t>
  </si>
  <si>
    <t>% for HR HPV</t>
  </si>
  <si>
    <t xml:space="preserve">Prevalence of HIV was 25.6% and HSV2 was 58.4%; migratory population with high level of concurrency and low rate of circumcision </t>
  </si>
  <si>
    <t xml:space="preserve">Participants were part of a circumcision trial and were HIV-negative at baseline </t>
  </si>
  <si>
    <t xml:space="preserve">HIV-negative </t>
  </si>
  <si>
    <t xml:space="preserve">HIV-positive </t>
  </si>
  <si>
    <t>Country</t>
  </si>
  <si>
    <t>Lb</t>
  </si>
  <si>
    <t xml:space="preserve">Age range </t>
  </si>
  <si>
    <t>Rwanda</t>
  </si>
  <si>
    <t>n/N</t>
  </si>
  <si>
    <t>34/153</t>
  </si>
  <si>
    <t>10/13</t>
  </si>
  <si>
    <t>Tanzania</t>
  </si>
  <si>
    <t>Prevalence of HR HPV by HIV status in different countries in eastern Africa (suppl table 1)</t>
  </si>
  <si>
    <t>212/1343</t>
  </si>
  <si>
    <t>36/140</t>
  </si>
  <si>
    <t>Uganda</t>
  </si>
  <si>
    <t>378/978</t>
  </si>
  <si>
    <t>312/421</t>
  </si>
  <si>
    <t xml:space="preserve">Age-specific HPV prevalence </t>
  </si>
  <si>
    <t xml:space="preserve">Tanzania </t>
  </si>
  <si>
    <t>≤19</t>
  </si>
  <si>
    <t>≥50</t>
  </si>
  <si>
    <t>≥35</t>
  </si>
  <si>
    <t>Uganda (Hr HPV prevalence)</t>
  </si>
  <si>
    <t>Year of data</t>
  </si>
  <si>
    <t>&lt;19 - &gt;50</t>
  </si>
  <si>
    <t xml:space="preserve">Any HPV Prevalence </t>
  </si>
  <si>
    <t xml:space="preserve">HR HPVPrevalence </t>
  </si>
  <si>
    <t xml:space="preserve">Any HPV </t>
  </si>
  <si>
    <t>Read from figure</t>
  </si>
  <si>
    <t>27-38</t>
  </si>
  <si>
    <t>2007-2009</t>
  </si>
  <si>
    <t>HIV prvevalence</t>
  </si>
  <si>
    <t>15-49</t>
  </si>
  <si>
    <t>Source: Olesen, 2014. Human papillomavirus prevalence among men in sub-Saharan Africa: a systematic review and meta-analysisSexually Transmitted Infections 2014;90:455-462.</t>
  </si>
  <si>
    <t>Veldhuijzen</t>
  </si>
  <si>
    <t>Olesen</t>
  </si>
  <si>
    <t>Tobian</t>
  </si>
  <si>
    <t>*HIV prevalence was 9.4% among those who were tested</t>
  </si>
  <si>
    <t>FSW represent 4% of women aged 15+ and 5% of women aged 15-49 in Nyanza.</t>
  </si>
  <si>
    <t>Source: Odek, 2014. Estimating the Size of the Female Sex Worker Population in Kenya to Inform HIV Prevention Programming. PLoS One. 2014; 9(3): e89180.</t>
  </si>
  <si>
    <t>* assuming 3.4% of 10-14 year olds had ever had sex and had one lifetime partner</t>
  </si>
  <si>
    <t>Histology results (n = 191)</t>
  </si>
  <si>
    <t>Source: Memiah, 2013. Prevalence and Risk Factors Associated with Precancerous Cervical Cancer Lesions among HIV-Infected Women in Resource-Limited Settings. AIDS Res Treat. 2012; 2012: 953743.</t>
  </si>
  <si>
    <t>Normal</t>
  </si>
  <si>
    <t>Source: Sweet, 2020; International Journal of STD &amp; AIDS, Volume: 31 issue: 2, page(s): 109-118</t>
  </si>
  <si>
    <t xml:space="preserve">The study site was located in Central Kenya, Kiambu district which has a HIV prevalence of 4%. HIV+ women aged 18-69 (median 40) with no history of cervical disease were screened with VILI. </t>
  </si>
  <si>
    <t>Source: Globocan 2012, de Martel C, Plummer M, Vignat J, Franceschi S. Worldwide burden of cancer attributable to HPV by site, country and HPV type. Int J Cancer. 2017</t>
  </si>
  <si>
    <t>2011-2014</t>
  </si>
  <si>
    <t>2003-2010</t>
  </si>
  <si>
    <t>2016-2019</t>
  </si>
  <si>
    <t>2020 and on</t>
  </si>
  <si>
    <t>Added mortality on ART</t>
  </si>
  <si>
    <t xml:space="preserve">Total mortality on ART </t>
  </si>
  <si>
    <t>Relative mortality on ART vs background</t>
  </si>
  <si>
    <t>Derived (averaged) mortaltiy rates</t>
  </si>
  <si>
    <t>Source: Otieno, 2019. Decreased HIV-associated mortality rates during scale-up of AART, 2011-2016</t>
  </si>
  <si>
    <t xml:space="preserve">HIV+, ART+ </t>
  </si>
  <si>
    <t xml:space="preserve">All HIV+ </t>
  </si>
  <si>
    <t>HIV+, unknown ART</t>
  </si>
  <si>
    <t>Relative mortality ART+ vs HIV-</t>
  </si>
  <si>
    <t xml:space="preserve">Mortality rates among HDSS residents in Gem, Kenya, aged 20-64. </t>
  </si>
  <si>
    <t>All cause mortaliy rates per 1000 years</t>
  </si>
  <si>
    <t>Excess mortality rates ART+ vs HIV-</t>
  </si>
  <si>
    <t xml:space="preserve">new risk distribution for 10-19 age groups </t>
  </si>
  <si>
    <t>Med</t>
  </si>
  <si>
    <t>0-9</t>
  </si>
  <si>
    <t>10-19</t>
  </si>
  <si>
    <t>60-79</t>
  </si>
  <si>
    <t>LCI</t>
  </si>
  <si>
    <t>UCI</t>
  </si>
  <si>
    <t>NaN</t>
  </si>
  <si>
    <t xml:space="preserve">Per protocol relative risk of incident HIV among circumcised men compared to uncircumcised men is 0.47 (0.28-0.78) </t>
  </si>
  <si>
    <t>As treated RR was 0·40 (0·23–0·68)</t>
  </si>
  <si>
    <t>RCT among 2784 18-24 year old men in Kisumu, with 24 months of follow up. Sexual behavior post-circumcision showed no behavioral compensation among circumcised men. The slightly higher prevalence of post-cicumcision risky behaviors in circumcised men were mainly attributable to safer sexual practices among uncircumcised men.</t>
  </si>
  <si>
    <t>Male circumcision in Nyanza</t>
  </si>
  <si>
    <t xml:space="preserve">% circumcised </t>
  </si>
  <si>
    <t>Source: DHS 2008; Akulian (2017) https://pubmed.ncbi.nlm.nih.gov/28079830/?from_term=kenya+circumcision+prevalence&amp;from_pos=2</t>
  </si>
  <si>
    <t>Source: DHS 2014; Akulian (2017) https://pubmed.ncbi.nlm.nih.gov/28079830/?from_term=kenya+circumcision+prevalence&amp;from_pos=2</t>
  </si>
  <si>
    <t xml:space="preserve">Source: KAIS 2007 and 2012; Galbriath, </t>
  </si>
  <si>
    <t> 25–34</t>
  </si>
  <si>
    <t> 35–44</t>
  </si>
  <si>
    <t> 45–54</t>
  </si>
  <si>
    <t> 55–64</t>
  </si>
  <si>
    <t>46.5</t>
  </si>
  <si>
    <t>47.5</t>
  </si>
  <si>
    <t>47.4</t>
  </si>
  <si>
    <t>53.5</t>
  </si>
  <si>
    <t>51.0</t>
  </si>
  <si>
    <t>38.4</t>
  </si>
  <si>
    <t>40.2</t>
  </si>
  <si>
    <t>45.8</t>
  </si>
  <si>
    <t>36.1</t>
  </si>
  <si>
    <t>54.6</t>
  </si>
  <si>
    <t>54.8</t>
  </si>
  <si>
    <t>56.3</t>
  </si>
  <si>
    <t>61.2</t>
  </si>
  <si>
    <t>66.0</t>
  </si>
  <si>
    <t>71.7</t>
  </si>
  <si>
    <t>69.3</t>
  </si>
  <si>
    <t>57.6</t>
  </si>
  <si>
    <t>59.1</t>
  </si>
  <si>
    <t>64.5</t>
  </si>
  <si>
    <t>62.1</t>
  </si>
  <si>
    <t>60.1</t>
  </si>
  <si>
    <t>42.7</t>
  </si>
  <si>
    <t>44.7</t>
  </si>
  <si>
    <t>49.5</t>
  </si>
  <si>
    <t>81.3</t>
  </si>
  <si>
    <t>78.5</t>
  </si>
  <si>
    <t>72.6</t>
  </si>
  <si>
    <t>73.4</t>
  </si>
  <si>
    <t>79.4</t>
  </si>
  <si>
    <t>Popuation validataion, %</t>
  </si>
  <si>
    <t>Popuation validataion, number</t>
  </si>
  <si>
    <t>Popuation validataion (females), number</t>
  </si>
  <si>
    <t>Nyanza with recoded age</t>
  </si>
  <si>
    <t>50+</t>
  </si>
  <si>
    <t>Adjusted for ritual circumcision per Akulian 2017</t>
  </si>
  <si>
    <t>ART</t>
  </si>
  <si>
    <t xml:space="preserve">Changes in the size of 0-4 year olds over time in Kenya vs Nyanza </t>
  </si>
  <si>
    <t>0-9, Kenya KNBS</t>
  </si>
  <si>
    <t>0-9, UN Kenya</t>
  </si>
  <si>
    <t>10-19, Kenya KNBS</t>
  </si>
  <si>
    <t>10-19, UN Kenya</t>
  </si>
  <si>
    <t>20-29, Kenya KNBS</t>
  </si>
  <si>
    <t>20-29, UN Kenya</t>
  </si>
  <si>
    <t>30-39, Kenya KNBS</t>
  </si>
  <si>
    <t>30-39, UN Kenya</t>
  </si>
  <si>
    <t>0-9, Nyanza KNBS</t>
  </si>
  <si>
    <t>10-19, Nyanza KNBS</t>
  </si>
  <si>
    <t>20-29, Nyanza KNBS</t>
  </si>
  <si>
    <t>30-39, Nyanza KNBS</t>
  </si>
  <si>
    <t xml:space="preserve">Nyanza - female </t>
  </si>
  <si>
    <t xml:space="preserve">Nyanza - male </t>
  </si>
  <si>
    <t>Kenya -female</t>
  </si>
  <si>
    <t>Kenya - male</t>
  </si>
  <si>
    <t>Nynz to Ken ratio, female</t>
  </si>
  <si>
    <t>Nynz to Ken ratio, male</t>
  </si>
  <si>
    <t xml:space="preserve">                 0                   0                   0                   0                   0                   0                   0</t>
  </si>
  <si>
    <t xml:space="preserve">                   0                   0                   0                   0                   0                   0                   0</t>
  </si>
  <si>
    <t xml:space="preserve">   0.077919997500000   0.077919997500000   0.077919997500000   0.045193598550000   0.045193598550000   0.031947198975000                   0</t>
  </si>
  <si>
    <t xml:space="preserve">   0.162046012500000   0.162046012500000   0.162046012500000   0.093986687250000   0.093986687250000   0.066438865125000                   0</t>
  </si>
  <si>
    <t xml:space="preserve">   0.155839995000000   0.155839995000000   0.155839995000000   0.090387197100000   0.090387197100000   0.063894397950000                   0</t>
  </si>
  <si>
    <t xml:space="preserve">   0.131015925000000   0.131015925000000   0.131015925000000   0.075989236500000   0.075989236500000   0.053716529250000                   0</t>
  </si>
  <si>
    <t xml:space="preserve">   0.093779820000000   0.093779820000000   0.093779820000000   0.054392295600000   0.054392295600000   0.038449726200000                   0</t>
  </si>
  <si>
    <t xml:space="preserve">   0.051027255000000   0.051027255000000   0.051027255000000   0.029595807900000   0.029595807900000   0.020921174550000                   0</t>
  </si>
  <si>
    <t xml:space="preserve">   0.017928495000000   0.017928495000000   0.017928495000000   0.010398527100000   0.010398527100000   0.007350682950000                   0</t>
  </si>
  <si>
    <t xml:space="preserve">AIDSinfo, UNAIDS (2020). Kenya national HIV prevalence </t>
  </si>
  <si>
    <t xml:space="preserve">CI </t>
  </si>
  <si>
    <t>40-49, Kenya KNBS</t>
  </si>
  <si>
    <t>40-49, UN Kenya</t>
  </si>
  <si>
    <t>40-49, Nyanza KNBS</t>
  </si>
  <si>
    <t>50+, Kenya KNBS</t>
  </si>
  <si>
    <t>50+, Nyanza KNBS</t>
  </si>
  <si>
    <t>50+, UN Kenya</t>
  </si>
  <si>
    <t>yanza popuation validataion, %N</t>
  </si>
  <si>
    <t>Total - LCI</t>
  </si>
  <si>
    <t>Total - UCI</t>
  </si>
  <si>
    <t>15–19</t>
  </si>
  <si>
    <t>20–24</t>
  </si>
  <si>
    <t>25–29</t>
  </si>
  <si>
    <t>30–34</t>
  </si>
  <si>
    <t>35–39</t>
  </si>
  <si>
    <t>40–44</t>
  </si>
  <si>
    <t xml:space="preserve"> 45–49</t>
  </si>
  <si>
    <t>50–54</t>
  </si>
  <si>
    <t>55–59</t>
  </si>
  <si>
    <t>60–64</t>
  </si>
  <si>
    <t>=</t>
  </si>
  <si>
    <t>*HIV clinic</t>
  </si>
  <si>
    <t>*family planning clinic</t>
  </si>
  <si>
    <t xml:space="preserve">Globocan 2012 from ICO report: Kenya; values obtained from figures with webplotdigitizer </t>
  </si>
  <si>
    <t>Globocan 2012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</si>
</sst>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0.00_);_(* \(#,##0.00\);_(* &quot;-&quot;??_);_(@_)"/>
    <numFmt numFmtId="164" formatCode="0.000"/>
    <numFmt numFmtId="165" formatCode="0.0"/>
    <numFmt numFmtId="166" formatCode="0.0%"/>
    <numFmt numFmtId="167" formatCode="0.00000"/>
    <numFmt numFmtId="168" formatCode="#,##0.0"/>
    <numFmt numFmtId="169" formatCode="#,##0.0000000"/>
    <numFmt numFmtId="170" formatCode="0.0000"/>
    <numFmt numFmtId="171" formatCode="#,##0.000"/>
    <numFmt numFmtId="172" formatCode="##0.0;\-##0.0;0"/>
    <numFmt numFmtId="173" formatCode="#\ ###\ ###\ ##0;\-#\ ###\ ###\ ##0;0"/>
    <numFmt numFmtId="174" formatCode="##0.0000;\-##0.0000;0.000"/>
  </numFmts>
  <fonts count="33" x14ac:knownFonts="1">
    <font>
      <sz val="11"/>
      <color theme="1"/>
      <name val="Calibri"/>
      <family val="2"/>
      <scheme val="minor"/>
    </font>
    <font>
      <sz val="11"/>
      <color theme="1"/>
      <name val="Calibri"/>
      <family val="2"/>
      <scheme val="minor"/>
    </font>
    <font>
      <b/>
      <sz val="11"/>
      <color theme="1"/>
      <name val="Calibri"/>
      <family val="2"/>
      <scheme val="minor"/>
    </font>
    <font>
      <sz val="11"/>
      <color theme="4"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0"/>
      <name val="Arial"/>
      <family val="2"/>
    </font>
    <font>
      <b/>
      <sz val="11"/>
      <name val="Arial"/>
      <family val="2"/>
    </font>
    <font>
      <sz val="11"/>
      <color theme="4"/>
      <name val="Calibri"/>
      <family val="2"/>
      <scheme val="minor"/>
    </font>
    <font>
      <u/>
      <sz val="11"/>
      <color theme="10"/>
      <name val="Calibri"/>
      <family val="2"/>
      <scheme val="minor"/>
    </font>
    <font>
      <b/>
      <i/>
      <sz val="11"/>
      <color rgb="FFC00000"/>
      <name val="Calibri"/>
      <family val="2"/>
      <scheme val="minor"/>
    </font>
    <font>
      <sz val="11"/>
      <color theme="5"/>
      <name val="Calibri"/>
      <family val="2"/>
      <scheme val="minor"/>
    </font>
    <font>
      <b/>
      <sz val="9"/>
      <color theme="1"/>
      <name val="Arial"/>
      <family val="2"/>
    </font>
    <font>
      <sz val="9"/>
      <color theme="1"/>
      <name val="Arial"/>
      <family val="2"/>
    </font>
    <font>
      <b/>
      <sz val="11"/>
      <color theme="1" tint="0.34998626667073579"/>
      <name val="Calibri"/>
      <family val="2"/>
      <scheme val="minor"/>
    </font>
    <font>
      <sz val="11"/>
      <color theme="1" tint="0.34998626667073579"/>
      <name val="Calibri"/>
      <family val="2"/>
      <scheme val="minor"/>
    </font>
    <font>
      <sz val="11"/>
      <color rgb="FFB07AD8"/>
      <name val="Calibri"/>
      <family val="2"/>
      <scheme val="minor"/>
    </font>
    <font>
      <b/>
      <sz val="9"/>
      <color theme="2" tint="-0.249977111117893"/>
      <name val="Arial"/>
      <family val="2"/>
    </font>
    <font>
      <sz val="11"/>
      <color theme="2" tint="-0.249977111117893"/>
      <name val="Calibri"/>
      <family val="2"/>
      <scheme val="minor"/>
    </font>
    <font>
      <sz val="9"/>
      <color theme="2" tint="-0.249977111117893"/>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0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bottom style="medium">
        <color indexed="64"/>
      </bottom>
      <diagonal/>
    </border>
    <border>
      <left/>
      <right style="thin">
        <color auto="1"/>
      </right>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s>
  <cellStyleXfs count="55">
    <xf numFmtId="0" fontId="0" fillId="0" borderId="0"/>
    <xf numFmtId="9" fontId="1" fillId="0" borderId="0" applyFon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 fillId="8" borderId="8" applyNumberFormat="0" applyFont="0" applyAlignment="0" applyProtection="0"/>
    <xf numFmtId="0" fontId="16" fillId="0" borderId="0" applyNumberFormat="0" applyFill="0" applyBorder="0" applyAlignment="0" applyProtection="0"/>
    <xf numFmtId="0" fontId="2"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xf numFmtId="9" fontId="19" fillId="0" borderId="0" applyFont="0" applyFill="0" applyBorder="0" applyAlignment="0" applyProtection="0"/>
    <xf numFmtId="0" fontId="20" fillId="0" borderId="10">
      <alignment vertical="top" wrapText="1"/>
    </xf>
    <xf numFmtId="0" fontId="19" fillId="0" borderId="11">
      <alignment vertical="top"/>
    </xf>
    <xf numFmtId="0" fontId="19" fillId="0" borderId="0"/>
    <xf numFmtId="0" fontId="19" fillId="0" borderId="11">
      <alignment vertical="top"/>
    </xf>
    <xf numFmtId="0" fontId="22" fillId="0" borderId="0" applyNumberFormat="0" applyFill="0" applyBorder="0" applyAlignment="0" applyProtection="0"/>
    <xf numFmtId="0" fontId="1" fillId="34" borderId="0"/>
    <xf numFmtId="0" fontId="1" fillId="34" borderId="8" applyFont="0" applyAlignment="0" applyProtection="0"/>
    <xf numFmtId="0" fontId="1" fillId="35" borderId="8" applyFont="0" applyAlignment="0" applyProtection="0"/>
    <xf numFmtId="0" fontId="1" fillId="36" borderId="8" applyFont="0" applyAlignment="0" applyProtection="0"/>
    <xf numFmtId="43" fontId="1" fillId="0" borderId="0" applyFont="0" applyFill="0" applyBorder="0" applyAlignment="0" applyProtection="0"/>
  </cellStyleXfs>
  <cellXfs count="85">
    <xf numFmtId="0" fontId="0" fillId="0" borderId="0" xfId="0"/>
    <xf numFmtId="0" fontId="0" fillId="0" borderId="0" xfId="0" applyAlignment="1">
      <alignment horizontal="right"/>
    </xf>
    <xf numFmtId="0" fontId="2" fillId="0" borderId="0" xfId="0" applyFont="1"/>
    <xf numFmtId="0" fontId="0" fillId="0" borderId="0" xfId="0" applyAlignment="1">
      <alignment horizontal="center"/>
    </xf>
    <xf numFmtId="3" fontId="0" fillId="0" borderId="0" xfId="0" applyNumberFormat="1"/>
    <xf numFmtId="9" fontId="0" fillId="0" borderId="0" xfId="1" applyFont="1"/>
    <xf numFmtId="164" fontId="0" fillId="0" borderId="0" xfId="0" applyNumberFormat="1"/>
    <xf numFmtId="2" fontId="0" fillId="0" borderId="0" xfId="0" applyNumberFormat="1"/>
    <xf numFmtId="165" fontId="0" fillId="0" borderId="0" xfId="0" applyNumberFormat="1"/>
    <xf numFmtId="165" fontId="0" fillId="0" borderId="0" xfId="1" applyNumberFormat="1" applyFont="1"/>
    <xf numFmtId="0" fontId="3" fillId="0" borderId="0" xfId="0" applyFont="1"/>
    <xf numFmtId="0" fontId="0" fillId="0" borderId="0" xfId="0" applyAlignment="1">
      <alignment vertical="center"/>
    </xf>
    <xf numFmtId="10" fontId="0" fillId="0" borderId="0" xfId="0" applyNumberFormat="1"/>
    <xf numFmtId="9" fontId="0" fillId="0" borderId="0" xfId="0" applyNumberFormat="1"/>
    <xf numFmtId="0" fontId="0" fillId="0" borderId="0" xfId="0" applyFont="1"/>
    <xf numFmtId="49" fontId="0" fillId="0" borderId="0" xfId="0" applyNumberFormat="1"/>
    <xf numFmtId="1" fontId="0" fillId="0" borderId="0" xfId="0" applyNumberFormat="1"/>
    <xf numFmtId="0" fontId="0" fillId="0" borderId="0" xfId="0" applyAlignment="1">
      <alignment horizontal="left"/>
    </xf>
    <xf numFmtId="166" fontId="0" fillId="0" borderId="0" xfId="0" applyNumberFormat="1"/>
    <xf numFmtId="166" fontId="0" fillId="0" borderId="0" xfId="1" applyNumberFormat="1" applyFont="1"/>
    <xf numFmtId="0" fontId="21" fillId="0" borderId="0" xfId="0" applyFont="1"/>
    <xf numFmtId="0" fontId="0" fillId="0" borderId="0" xfId="0"/>
    <xf numFmtId="49" fontId="0" fillId="0" borderId="0" xfId="0" applyNumberFormat="1"/>
    <xf numFmtId="0" fontId="0" fillId="0" borderId="0" xfId="0" applyAlignment="1"/>
    <xf numFmtId="10" fontId="0" fillId="0" borderId="0" xfId="1" applyNumberFormat="1" applyFont="1"/>
    <xf numFmtId="164" fontId="21" fillId="0" borderId="0" xfId="0" applyNumberFormat="1" applyFont="1"/>
    <xf numFmtId="168" fontId="0" fillId="0" borderId="0" xfId="0" applyNumberFormat="1"/>
    <xf numFmtId="169" fontId="0" fillId="0" borderId="0" xfId="0" applyNumberFormat="1"/>
    <xf numFmtId="167" fontId="0" fillId="0" borderId="0" xfId="1" applyNumberFormat="1" applyFont="1"/>
    <xf numFmtId="170" fontId="0" fillId="0" borderId="0" xfId="1" applyNumberFormat="1" applyFont="1"/>
    <xf numFmtId="171" fontId="0" fillId="0" borderId="0" xfId="0" applyNumberFormat="1"/>
    <xf numFmtId="0" fontId="0" fillId="0" borderId="0" xfId="0" quotePrefix="1"/>
    <xf numFmtId="0" fontId="22" fillId="0" borderId="0" xfId="49"/>
    <xf numFmtId="0" fontId="15" fillId="0" borderId="0" xfId="0" applyFont="1"/>
    <xf numFmtId="10" fontId="15" fillId="0" borderId="0" xfId="0" applyNumberFormat="1" applyFont="1"/>
    <xf numFmtId="16" fontId="0" fillId="0" borderId="0" xfId="0" applyNumberFormat="1"/>
    <xf numFmtId="0" fontId="0" fillId="0" borderId="0" xfId="0"/>
    <xf numFmtId="0" fontId="0" fillId="0" borderId="0" xfId="0"/>
    <xf numFmtId="0" fontId="1" fillId="30" borderId="0" xfId="39"/>
    <xf numFmtId="0" fontId="1" fillId="14" borderId="0" xfId="23"/>
    <xf numFmtId="0" fontId="0" fillId="0" borderId="0" xfId="0" applyNumberFormat="1"/>
    <xf numFmtId="170" fontId="0" fillId="0" borderId="0" xfId="0" applyNumberFormat="1"/>
    <xf numFmtId="0" fontId="23" fillId="0" borderId="0" xfId="0" applyFont="1"/>
    <xf numFmtId="0" fontId="0" fillId="14" borderId="0" xfId="23" applyFont="1"/>
    <xf numFmtId="0" fontId="24" fillId="0" borderId="0" xfId="0" applyFont="1"/>
    <xf numFmtId="0" fontId="25" fillId="33" borderId="12" xfId="0" quotePrefix="1" applyFont="1" applyFill="1" applyBorder="1" applyAlignment="1">
      <alignment horizontal="center" vertical="center" wrapText="1"/>
    </xf>
    <xf numFmtId="0" fontId="25" fillId="33" borderId="13" xfId="0" quotePrefix="1" applyFont="1" applyFill="1" applyBorder="1" applyAlignment="1">
      <alignment horizontal="center" vertical="center"/>
    </xf>
    <xf numFmtId="0" fontId="26" fillId="0" borderId="0" xfId="0" applyFont="1" applyAlignment="1">
      <alignment horizontal="center"/>
    </xf>
    <xf numFmtId="172" fontId="26" fillId="0" borderId="0" xfId="0" applyNumberFormat="1" applyFont="1" applyAlignment="1">
      <alignment horizontal="right"/>
    </xf>
    <xf numFmtId="173" fontId="26" fillId="0" borderId="0" xfId="0" applyNumberFormat="1" applyFont="1" applyAlignment="1">
      <alignment horizontal="right"/>
    </xf>
    <xf numFmtId="173" fontId="0" fillId="0" borderId="0" xfId="0" applyNumberFormat="1"/>
    <xf numFmtId="174" fontId="26" fillId="0" borderId="0" xfId="0" applyNumberFormat="1" applyFont="1" applyAlignment="1">
      <alignment horizontal="right"/>
    </xf>
    <xf numFmtId="0" fontId="25" fillId="33" borderId="14" xfId="0" applyFont="1" applyFill="1" applyBorder="1" applyAlignment="1">
      <alignment horizontal="center" vertical="center"/>
    </xf>
    <xf numFmtId="0" fontId="27" fillId="0" borderId="0" xfId="0" applyFont="1"/>
    <xf numFmtId="0" fontId="28" fillId="0" borderId="0" xfId="0" applyFont="1"/>
    <xf numFmtId="166" fontId="28" fillId="0" borderId="0" xfId="1" applyNumberFormat="1" applyFont="1"/>
    <xf numFmtId="9" fontId="28" fillId="0" borderId="0" xfId="0" applyNumberFormat="1" applyFont="1"/>
    <xf numFmtId="165" fontId="24" fillId="0" borderId="0" xfId="0" applyNumberFormat="1" applyFont="1"/>
    <xf numFmtId="1" fontId="24" fillId="0" borderId="0" xfId="0" applyNumberFormat="1" applyFont="1"/>
    <xf numFmtId="167" fontId="0" fillId="0" borderId="0" xfId="0" applyNumberFormat="1"/>
    <xf numFmtId="4" fontId="0" fillId="0" borderId="0" xfId="0" applyNumberFormat="1"/>
    <xf numFmtId="3" fontId="0" fillId="0" borderId="0" xfId="0" applyNumberFormat="1" applyBorder="1"/>
    <xf numFmtId="2" fontId="0" fillId="0" borderId="15" xfId="0" applyNumberFormat="1" applyBorder="1"/>
    <xf numFmtId="2" fontId="0" fillId="0" borderId="0" xfId="0" applyNumberFormat="1" applyBorder="1"/>
    <xf numFmtId="0" fontId="0" fillId="8" borderId="8" xfId="15" applyFont="1"/>
    <xf numFmtId="0" fontId="1" fillId="5" borderId="4" xfId="9" applyFont="1"/>
    <xf numFmtId="0" fontId="1" fillId="8" borderId="8" xfId="15" applyFont="1"/>
    <xf numFmtId="0" fontId="1" fillId="34" borderId="8" xfId="51"/>
    <xf numFmtId="0" fontId="0" fillId="35" borderId="8" xfId="52" applyFont="1"/>
    <xf numFmtId="0" fontId="0" fillId="36" borderId="8" xfId="53" applyFont="1"/>
    <xf numFmtId="165" fontId="0" fillId="36" borderId="8" xfId="53" applyNumberFormat="1" applyFont="1"/>
    <xf numFmtId="0" fontId="29" fillId="0" borderId="0" xfId="0" applyFont="1"/>
    <xf numFmtId="0" fontId="0" fillId="0" borderId="0" xfId="0" applyFill="1"/>
    <xf numFmtId="16" fontId="0" fillId="0" borderId="0" xfId="0" applyNumberFormat="1" applyFill="1"/>
    <xf numFmtId="0" fontId="0" fillId="34" borderId="8" xfId="51" applyFont="1"/>
    <xf numFmtId="2" fontId="0" fillId="34" borderId="8" xfId="51" applyNumberFormat="1" applyFont="1"/>
    <xf numFmtId="49" fontId="26" fillId="0" borderId="0" xfId="0" applyNumberFormat="1" applyFont="1" applyAlignment="1">
      <alignment horizontal="right"/>
    </xf>
    <xf numFmtId="173" fontId="25" fillId="0" borderId="0" xfId="0" applyNumberFormat="1" applyFont="1" applyAlignment="1">
      <alignment horizontal="right"/>
    </xf>
    <xf numFmtId="0" fontId="30" fillId="33" borderId="13" xfId="0" quotePrefix="1" applyFont="1" applyFill="1" applyBorder="1" applyAlignment="1">
      <alignment horizontal="center" vertical="center"/>
    </xf>
    <xf numFmtId="0" fontId="31" fillId="0" borderId="0" xfId="0" applyFont="1"/>
    <xf numFmtId="173" fontId="32" fillId="0" borderId="0" xfId="0" applyNumberFormat="1" applyFont="1" applyAlignment="1">
      <alignment horizontal="right"/>
    </xf>
    <xf numFmtId="0" fontId="0" fillId="37" borderId="0" xfId="0" applyFill="1"/>
    <xf numFmtId="1" fontId="0" fillId="0" borderId="0" xfId="54" applyNumberFormat="1" applyFont="1"/>
    <xf numFmtId="2" fontId="0" fillId="0" borderId="0" xfId="0" quotePrefix="1" applyNumberFormat="1"/>
    <xf numFmtId="0" fontId="0" fillId="0" borderId="0" xfId="0" applyAlignment="1">
      <alignment horizontal="center"/>
    </xf>
  </cellXfs>
  <cellStyles count="5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54" builtinId="3"/>
    <cellStyle name="Data" xfId="46"/>
    <cellStyle name="Data 2" xfId="48"/>
    <cellStyle name="Explanatory Text" xfId="16" builtinId="53" customBuiltin="1"/>
    <cellStyle name="Good" xfId="6" builtinId="26" customBuiltin="1"/>
    <cellStyle name="Header" xfId="45"/>
    <cellStyle name="Heading 1" xfId="2" builtinId="16" customBuiltin="1"/>
    <cellStyle name="Heading 2" xfId="3" builtinId="17" customBuiltin="1"/>
    <cellStyle name="Heading 3" xfId="4" builtinId="18" customBuiltin="1"/>
    <cellStyle name="Heading 4" xfId="5" builtinId="19" customBuiltin="1"/>
    <cellStyle name="Hyperlink" xfId="49" builtinId="8"/>
    <cellStyle name="Input" xfId="9" builtinId="20" customBuiltin="1"/>
    <cellStyle name="Linked Cell" xfId="12" builtinId="24" customBuiltin="1"/>
    <cellStyle name="Neutral" xfId="8" builtinId="28" customBuiltin="1"/>
    <cellStyle name="Normal" xfId="0" builtinId="0"/>
    <cellStyle name="Normal 2" xfId="43"/>
    <cellStyle name="Normal 2 2" xfId="47"/>
    <cellStyle name="Note" xfId="15" builtinId="10" customBuiltin="1"/>
    <cellStyle name="Note 2" xfId="51"/>
    <cellStyle name="Note 3" xfId="52"/>
    <cellStyle name="Note 4" xfId="53"/>
    <cellStyle name="Output" xfId="10" builtinId="21" customBuiltin="1"/>
    <cellStyle name="Percent" xfId="1" builtinId="5"/>
    <cellStyle name="Percent 2" xfId="44"/>
    <cellStyle name="Style 1" xfId="50"/>
    <cellStyle name="Title 2" xfId="42"/>
    <cellStyle name="Total" xfId="17" builtinId="25" customBuiltin="1"/>
    <cellStyle name="Warning Text" xfId="14" builtinId="11" customBuiltin="1"/>
  </cellStyles>
  <dxfs count="0"/>
  <tableStyles count="0" defaultTableStyle="TableStyleMedium2" defaultPivotStyle="PivotStyleLight16"/>
  <colors>
    <mruColors>
      <color rgb="FFC59EE2"/>
      <color rgb="FFFF938B"/>
      <color rgb="FFB07AD8"/>
      <color rgb="FF79A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Kenya 2009 Population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3"/>
          <c:order val="2"/>
          <c:tx>
            <c:strRef>
              <c:f>Population!$L$90</c:f>
              <c:strCache>
                <c:ptCount val="1"/>
                <c:pt idx="0">
                  <c:v>Female</c:v>
                </c:pt>
              </c:strCache>
            </c:strRef>
          </c:tx>
          <c:spPr>
            <a:solidFill>
              <a:schemeClr val="accent1"/>
            </a:solidFill>
            <a:ln>
              <a:solidFill>
                <a:schemeClr val="accent1"/>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Population!$L$91:$L$107</c:f>
              <c:numCache>
                <c:formatCode>#,##0</c:formatCode>
                <c:ptCount val="17"/>
                <c:pt idx="0">
                  <c:v>7.6116540188956279</c:v>
                </c:pt>
                <c:pt idx="1">
                  <c:v>7.1614608997226812</c:v>
                </c:pt>
                <c:pt idx="2">
                  <c:v>6.3961041071717588</c:v>
                </c:pt>
                <c:pt idx="3">
                  <c:v>5.2988470865535504</c:v>
                </c:pt>
                <c:pt idx="4">
                  <c:v>5.2343769040518078</c:v>
                </c:pt>
                <c:pt idx="5">
                  <c:v>4.3307583505941469</c:v>
                </c:pt>
                <c:pt idx="6">
                  <c:v>3.2697949450891044</c:v>
                </c:pt>
                <c:pt idx="7">
                  <c:v>2.6010579564200524</c:v>
                </c:pt>
                <c:pt idx="8">
                  <c:v>1.8973663806128225</c:v>
                </c:pt>
                <c:pt idx="9">
                  <c:v>1.6510422131288611</c:v>
                </c:pt>
                <c:pt idx="10">
                  <c:v>1.2376555282935444</c:v>
                </c:pt>
                <c:pt idx="11">
                  <c:v>0.9129399493609146</c:v>
                </c:pt>
                <c:pt idx="12">
                  <c:v>0.77332362050268866</c:v>
                </c:pt>
                <c:pt idx="13">
                  <c:v>0.53771426681471435</c:v>
                </c:pt>
                <c:pt idx="14">
                  <c:v>0.46360929888365732</c:v>
                </c:pt>
                <c:pt idx="15">
                  <c:v>0.30736778516769847</c:v>
                </c:pt>
                <c:pt idx="16">
                  <c:v>0.58165096036925268</c:v>
                </c:pt>
              </c:numCache>
            </c:numRef>
          </c:val>
          <c:extLst>
            <c:ext xmlns:c16="http://schemas.microsoft.com/office/drawing/2014/chart" uri="{C3380CC4-5D6E-409C-BE32-E72D297353CC}">
              <c16:uniqueId val="{00000003-E5C3-47E1-B146-8CAF13B011E2}"/>
            </c:ext>
          </c:extLst>
        </c:ser>
        <c:ser>
          <c:idx val="2"/>
          <c:order val="3"/>
          <c:tx>
            <c:strRef>
              <c:f>Population!$M$90</c:f>
              <c:strCache>
                <c:ptCount val="1"/>
                <c:pt idx="0">
                  <c:v>Male </c:v>
                </c:pt>
              </c:strCache>
            </c:strRef>
          </c:tx>
          <c:spPr>
            <a:solidFill>
              <a:schemeClr val="accent4"/>
            </a:solidFill>
            <a:ln>
              <a:solidFill>
                <a:schemeClr val="accent4"/>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Population!$M$91:$M$107</c:f>
              <c:numCache>
                <c:formatCode>#,##0</c:formatCode>
                <c:ptCount val="17"/>
                <c:pt idx="0">
                  <c:v>-7.771125257727272</c:v>
                </c:pt>
                <c:pt idx="1">
                  <c:v>-7.3366016148573783</c:v>
                </c:pt>
                <c:pt idx="2">
                  <c:v>-6.6441506220510149</c:v>
                </c:pt>
                <c:pt idx="3">
                  <c:v>-5.500252951967461</c:v>
                </c:pt>
                <c:pt idx="4">
                  <c:v>-4.5431250794319418</c:v>
                </c:pt>
                <c:pt idx="5">
                  <c:v>-3.9604044506803495</c:v>
                </c:pt>
                <c:pt idx="6">
                  <c:v>-3.2557157263811067</c:v>
                </c:pt>
                <c:pt idx="7">
                  <c:v>-2.6012910560675362</c:v>
                </c:pt>
                <c:pt idx="8">
                  <c:v>-1.9259055474530404</c:v>
                </c:pt>
                <c:pt idx="9">
                  <c:v>-1.6453623517185156</c:v>
                </c:pt>
                <c:pt idx="10">
                  <c:v>-1.2389142663899548</c:v>
                </c:pt>
                <c:pt idx="11">
                  <c:v>-0.93101553202521081</c:v>
                </c:pt>
                <c:pt idx="12">
                  <c:v>-0.76455907375731269</c:v>
                </c:pt>
                <c:pt idx="13">
                  <c:v>-0.47436037262480851</c:v>
                </c:pt>
                <c:pt idx="14">
                  <c:v>-0.41517896212485556</c:v>
                </c:pt>
                <c:pt idx="15">
                  <c:v>-0.25856707896900644</c:v>
                </c:pt>
                <c:pt idx="16">
                  <c:v>-0.41213312673107244</c:v>
                </c:pt>
              </c:numCache>
            </c:numRef>
          </c:val>
          <c:extLst>
            <c:ext xmlns:c16="http://schemas.microsoft.com/office/drawing/2014/chart" uri="{C3380CC4-5D6E-409C-BE32-E72D297353CC}">
              <c16:uniqueId val="{00000002-E5C3-47E1-B146-8CAF13B011E2}"/>
            </c:ext>
          </c:extLst>
        </c:ser>
        <c:dLbls>
          <c:showLegendKey val="0"/>
          <c:showVal val="0"/>
          <c:showCatName val="0"/>
          <c:showSerName val="0"/>
          <c:showPercent val="0"/>
          <c:showBubbleSize val="0"/>
        </c:dLbls>
        <c:gapWidth val="0"/>
        <c:overlap val="100"/>
        <c:axId val="712542240"/>
        <c:axId val="712548144"/>
        <c:extLst>
          <c:ext xmlns:c15="http://schemas.microsoft.com/office/drawing/2012/chart" uri="{02D57815-91ED-43cb-92C2-25804820EDAC}">
            <c15:filteredBarSeries>
              <c15:ser>
                <c:idx val="0"/>
                <c:order val="0"/>
                <c:tx>
                  <c:strRef>
                    <c:extLst>
                      <c:ext uri="{02D57815-91ED-43cb-92C2-25804820EDAC}">
                        <c15:formulaRef>
                          <c15:sqref>Population!$H$90</c15:sqref>
                        </c15:formulaRef>
                      </c:ext>
                    </c:extLst>
                    <c:strCache>
                      <c:ptCount val="1"/>
                      <c:pt idx="0">
                        <c:v>Female</c:v>
                      </c:pt>
                    </c:strCache>
                  </c:strRef>
                </c:tx>
                <c:spPr>
                  <a:solidFill>
                    <a:schemeClr val="accent1"/>
                  </a:solidFill>
                  <a:ln>
                    <a:noFill/>
                  </a:ln>
                  <a:effectLst/>
                </c:spPr>
                <c:invertIfNegative val="0"/>
                <c:cat>
                  <c:strRef>
                    <c:extLst>
                      <c:ex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c:ext uri="{02D57815-91ED-43cb-92C2-25804820EDAC}">
                        <c15:formulaRef>
                          <c15:sqref>Population!$H$91:$H$107</c15:sqref>
                        </c15:formulaRef>
                      </c:ext>
                    </c:extLst>
                    <c:numCache>
                      <c:formatCode>#,##0</c:formatCode>
                      <c:ptCount val="17"/>
                      <c:pt idx="0">
                        <c:v>2938867</c:v>
                      </c:pt>
                      <c:pt idx="1">
                        <c:v>2765047</c:v>
                      </c:pt>
                      <c:pt idx="2">
                        <c:v>2469542</c:v>
                      </c:pt>
                      <c:pt idx="3">
                        <c:v>2045890</c:v>
                      </c:pt>
                      <c:pt idx="4">
                        <c:v>2020998</c:v>
                      </c:pt>
                      <c:pt idx="5">
                        <c:v>1672110</c:v>
                      </c:pt>
                      <c:pt idx="6">
                        <c:v>1262471</c:v>
                      </c:pt>
                      <c:pt idx="7">
                        <c:v>1004271</c:v>
                      </c:pt>
                      <c:pt idx="8">
                        <c:v>732575</c:v>
                      </c:pt>
                      <c:pt idx="9">
                        <c:v>637469</c:v>
                      </c:pt>
                      <c:pt idx="10">
                        <c:v>477860</c:v>
                      </c:pt>
                      <c:pt idx="11">
                        <c:v>352487</c:v>
                      </c:pt>
                      <c:pt idx="12">
                        <c:v>298581</c:v>
                      </c:pt>
                      <c:pt idx="13">
                        <c:v>207612</c:v>
                      </c:pt>
                      <c:pt idx="14">
                        <c:v>179000</c:v>
                      </c:pt>
                      <c:pt idx="15">
                        <c:v>118675</c:v>
                      </c:pt>
                      <c:pt idx="16">
                        <c:v>224576</c:v>
                      </c:pt>
                    </c:numCache>
                  </c:numRef>
                </c:val>
                <c:extLst>
                  <c:ext xmlns:c16="http://schemas.microsoft.com/office/drawing/2014/chart" uri="{C3380CC4-5D6E-409C-BE32-E72D297353CC}">
                    <c16:uniqueId val="{00000000-E5C3-47E1-B146-8CAF13B011E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Population!$I$90</c15:sqref>
                        </c15:formulaRef>
                      </c:ext>
                    </c:extLst>
                    <c:strCache>
                      <c:ptCount val="1"/>
                      <c:pt idx="0">
                        <c:v>Male</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xmlns:c15="http://schemas.microsoft.com/office/drawing/2012/chart">
                      <c:ext xmlns:c15="http://schemas.microsoft.com/office/drawing/2012/chart" uri="{02D57815-91ED-43cb-92C2-25804820EDAC}">
                        <c15:formulaRef>
                          <c15:sqref>Population!$I$91:$I$107</c15:sqref>
                        </c15:formulaRef>
                      </c:ext>
                    </c:extLst>
                    <c:numCache>
                      <c:formatCode>#,##0</c:formatCode>
                      <c:ptCount val="17"/>
                      <c:pt idx="0">
                        <c:v>3000439</c:v>
                      </c:pt>
                      <c:pt idx="1">
                        <c:v>2832669</c:v>
                      </c:pt>
                      <c:pt idx="2">
                        <c:v>2565313</c:v>
                      </c:pt>
                      <c:pt idx="3">
                        <c:v>2123653</c:v>
                      </c:pt>
                      <c:pt idx="4">
                        <c:v>1754105</c:v>
                      </c:pt>
                      <c:pt idx="5">
                        <c:v>1529116</c:v>
                      </c:pt>
                      <c:pt idx="6">
                        <c:v>1257035</c:v>
                      </c:pt>
                      <c:pt idx="7">
                        <c:v>1004361</c:v>
                      </c:pt>
                      <c:pt idx="8">
                        <c:v>743594</c:v>
                      </c:pt>
                      <c:pt idx="9">
                        <c:v>635276</c:v>
                      </c:pt>
                      <c:pt idx="10">
                        <c:v>478346</c:v>
                      </c:pt>
                      <c:pt idx="11">
                        <c:v>359466</c:v>
                      </c:pt>
                      <c:pt idx="12">
                        <c:v>295197</c:v>
                      </c:pt>
                      <c:pt idx="13">
                        <c:v>183151</c:v>
                      </c:pt>
                      <c:pt idx="14">
                        <c:v>160301</c:v>
                      </c:pt>
                      <c:pt idx="15">
                        <c:v>99833</c:v>
                      </c:pt>
                      <c:pt idx="16">
                        <c:v>159125</c:v>
                      </c:pt>
                    </c:numCache>
                  </c:numRef>
                </c:val>
                <c:extLst xmlns:c15="http://schemas.microsoft.com/office/drawing/2012/chart">
                  <c:ext xmlns:c16="http://schemas.microsoft.com/office/drawing/2014/chart" uri="{C3380CC4-5D6E-409C-BE32-E72D297353CC}">
                    <c16:uniqueId val="{00000001-E5C3-47E1-B146-8CAF13B011E2}"/>
                  </c:ext>
                </c:extLst>
              </c15:ser>
            </c15:filteredBarSeries>
          </c:ext>
        </c:extLst>
      </c:barChart>
      <c:catAx>
        <c:axId val="712542240"/>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48144"/>
        <c:crosses val="autoZero"/>
        <c:auto val="1"/>
        <c:lblAlgn val="ctr"/>
        <c:lblOffset val="100"/>
        <c:noMultiLvlLbl val="0"/>
      </c:catAx>
      <c:valAx>
        <c:axId val="712548144"/>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2542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behavior'!$C$73:$C$88</c:f>
              <c:numCache>
                <c:formatCode>0.0000</c:formatCode>
                <c:ptCount val="16"/>
                <c:pt idx="0">
                  <c:v>1</c:v>
                </c:pt>
                <c:pt idx="1">
                  <c:v>1</c:v>
                </c:pt>
                <c:pt idx="2">
                  <c:v>1</c:v>
                </c:pt>
                <c:pt idx="3">
                  <c:v>0.98975599999999997</c:v>
                </c:pt>
                <c:pt idx="4">
                  <c:v>0.97952399999999995</c:v>
                </c:pt>
                <c:pt idx="5">
                  <c:v>0.98680599999999996</c:v>
                </c:pt>
                <c:pt idx="6">
                  <c:v>0.98374700000000004</c:v>
                </c:pt>
                <c:pt idx="7">
                  <c:v>0.98370900000000006</c:v>
                </c:pt>
                <c:pt idx="8">
                  <c:v>0.99171000000000009</c:v>
                </c:pt>
                <c:pt idx="9">
                  <c:v>0.99118399999999995</c:v>
                </c:pt>
                <c:pt idx="10">
                  <c:v>0.99118399999999995</c:v>
                </c:pt>
                <c:pt idx="11">
                  <c:v>0.99118399999999995</c:v>
                </c:pt>
                <c:pt idx="12">
                  <c:v>0.99118399999999995</c:v>
                </c:pt>
                <c:pt idx="13">
                  <c:v>0.99118399999999995</c:v>
                </c:pt>
                <c:pt idx="14">
                  <c:v>0.99118399999999995</c:v>
                </c:pt>
                <c:pt idx="15">
                  <c:v>0.99118399999999995</c:v>
                </c:pt>
              </c:numCache>
            </c:numRef>
          </c:val>
          <c:extLst>
            <c:ext xmlns:c16="http://schemas.microsoft.com/office/drawing/2014/chart" uri="{C3380CC4-5D6E-409C-BE32-E72D297353CC}">
              <c16:uniqueId val="{00000000-665E-4D37-B546-0BD8ADC30B1E}"/>
            </c:ext>
          </c:extLst>
        </c:ser>
        <c:ser>
          <c:idx val="1"/>
          <c:order val="1"/>
          <c:tx>
            <c:strRef>
              <c:f>'Sexual behavior'!$D$72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behavior'!$D$73:$D$88</c:f>
              <c:numCache>
                <c:formatCode>General</c:formatCode>
                <c:ptCount val="16"/>
                <c:pt idx="0">
                  <c:v>0</c:v>
                </c:pt>
                <c:pt idx="1">
                  <c:v>0</c:v>
                </c:pt>
                <c:pt idx="2">
                  <c:v>0</c:v>
                </c:pt>
                <c:pt idx="3">
                  <c:v>1.0069E-2</c:v>
                </c:pt>
                <c:pt idx="4">
                  <c:v>2.0166E-2</c:v>
                </c:pt>
                <c:pt idx="5">
                  <c:v>1.2837000000000001E-2</c:v>
                </c:pt>
                <c:pt idx="6">
                  <c:v>1.6253E-2</c:v>
                </c:pt>
                <c:pt idx="7">
                  <c:v>1.5713999999999999E-2</c:v>
                </c:pt>
                <c:pt idx="8">
                  <c:v>7.8080000000000007E-3</c:v>
                </c:pt>
                <c:pt idx="9">
                  <c:v>8.8160000000000009E-3</c:v>
                </c:pt>
                <c:pt idx="10">
                  <c:v>8.8160000000000009E-3</c:v>
                </c:pt>
                <c:pt idx="11">
                  <c:v>8.8160000000000009E-3</c:v>
                </c:pt>
                <c:pt idx="12">
                  <c:v>8.8160000000000009E-3</c:v>
                </c:pt>
                <c:pt idx="13">
                  <c:v>8.8160000000000009E-3</c:v>
                </c:pt>
                <c:pt idx="14">
                  <c:v>8.8160000000000009E-3</c:v>
                </c:pt>
                <c:pt idx="15">
                  <c:v>8.8160000000000009E-3</c:v>
                </c:pt>
              </c:numCache>
            </c:numRef>
          </c:val>
          <c:extLst>
            <c:ext xmlns:c16="http://schemas.microsoft.com/office/drawing/2014/chart" uri="{C3380CC4-5D6E-409C-BE32-E72D297353CC}">
              <c16:uniqueId val="{00000001-665E-4D37-B546-0BD8ADC30B1E}"/>
            </c:ext>
          </c:extLst>
        </c:ser>
        <c:ser>
          <c:idx val="2"/>
          <c:order val="2"/>
          <c:tx>
            <c:strRef>
              <c:f>'Sexual behavior'!$E$72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behavior'!$E$73:$E$88</c:f>
              <c:numCache>
                <c:formatCode>General</c:formatCode>
                <c:ptCount val="16"/>
                <c:pt idx="0">
                  <c:v>0</c:v>
                </c:pt>
                <c:pt idx="1">
                  <c:v>0</c:v>
                </c:pt>
                <c:pt idx="2">
                  <c:v>0</c:v>
                </c:pt>
                <c:pt idx="3">
                  <c:v>1.7500000000000003E-4</c:v>
                </c:pt>
                <c:pt idx="4">
                  <c:v>3.1E-4</c:v>
                </c:pt>
                <c:pt idx="5">
                  <c:v>3.57E-4</c:v>
                </c:pt>
                <c:pt idx="6">
                  <c:v>4.6700000000000002E-4</c:v>
                </c:pt>
                <c:pt idx="7">
                  <c:v>5.7700000000000004E-4</c:v>
                </c:pt>
                <c:pt idx="8">
                  <c:v>4.8200000000000001E-4</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665E-4D37-B546-0BD8ADC30B1E}"/>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behavior'!$F$73:$F$88</c:f>
              <c:numCache>
                <c:formatCode>General</c:formatCode>
                <c:ptCount val="16"/>
                <c:pt idx="0">
                  <c:v>1</c:v>
                </c:pt>
                <c:pt idx="1">
                  <c:v>1</c:v>
                </c:pt>
                <c:pt idx="2">
                  <c:v>1</c:v>
                </c:pt>
                <c:pt idx="3">
                  <c:v>0.96245199999999997</c:v>
                </c:pt>
                <c:pt idx="4">
                  <c:v>0.8334180000000001</c:v>
                </c:pt>
                <c:pt idx="5">
                  <c:v>0.825658</c:v>
                </c:pt>
                <c:pt idx="6">
                  <c:v>0.84771699999999994</c:v>
                </c:pt>
                <c:pt idx="7">
                  <c:v>0.86167599999999989</c:v>
                </c:pt>
                <c:pt idx="8">
                  <c:v>0.88590000000000002</c:v>
                </c:pt>
                <c:pt idx="9">
                  <c:v>0.87293999999999994</c:v>
                </c:pt>
                <c:pt idx="10">
                  <c:v>0.88538499999999998</c:v>
                </c:pt>
                <c:pt idx="11">
                  <c:v>0.88538499999999998</c:v>
                </c:pt>
                <c:pt idx="12">
                  <c:v>0.88538499999999998</c:v>
                </c:pt>
                <c:pt idx="13">
                  <c:v>0.88538499999999998</c:v>
                </c:pt>
                <c:pt idx="14">
                  <c:v>0.88538499999999998</c:v>
                </c:pt>
                <c:pt idx="15">
                  <c:v>0.88538499999999998</c:v>
                </c:pt>
              </c:numCache>
            </c:numRef>
          </c:val>
          <c:extLst>
            <c:ext xmlns:c16="http://schemas.microsoft.com/office/drawing/2014/chart" uri="{C3380CC4-5D6E-409C-BE32-E72D297353CC}">
              <c16:uniqueId val="{00000003-DEB9-4FB2-AE8F-A8AE64D05E98}"/>
            </c:ext>
          </c:extLst>
        </c:ser>
        <c:ser>
          <c:idx val="1"/>
          <c:order val="1"/>
          <c:tx>
            <c:strRef>
              <c:f>'Sexual behavior'!$G$72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behavior'!$G$73:$G$88</c:f>
              <c:numCache>
                <c:formatCode>General</c:formatCode>
                <c:ptCount val="16"/>
                <c:pt idx="0">
                  <c:v>0</c:v>
                </c:pt>
                <c:pt idx="1">
                  <c:v>0</c:v>
                </c:pt>
                <c:pt idx="2">
                  <c:v>0</c:v>
                </c:pt>
                <c:pt idx="3">
                  <c:v>3.5205E-2</c:v>
                </c:pt>
                <c:pt idx="4">
                  <c:v>0.157748</c:v>
                </c:pt>
                <c:pt idx="5">
                  <c:v>0.16295100000000001</c:v>
                </c:pt>
                <c:pt idx="6">
                  <c:v>0.149064</c:v>
                </c:pt>
                <c:pt idx="7">
                  <c:v>0.13456400000000002</c:v>
                </c:pt>
                <c:pt idx="8">
                  <c:v>0.11090999999999999</c:v>
                </c:pt>
                <c:pt idx="9">
                  <c:v>0.126001</c:v>
                </c:pt>
                <c:pt idx="10">
                  <c:v>0.10356299999999999</c:v>
                </c:pt>
                <c:pt idx="11">
                  <c:v>0.10356299999999999</c:v>
                </c:pt>
                <c:pt idx="12">
                  <c:v>0.10356299999999999</c:v>
                </c:pt>
                <c:pt idx="13">
                  <c:v>0.10356299999999999</c:v>
                </c:pt>
                <c:pt idx="14">
                  <c:v>0.10356299999999999</c:v>
                </c:pt>
                <c:pt idx="15">
                  <c:v>0.10356299999999999</c:v>
                </c:pt>
              </c:numCache>
            </c:numRef>
          </c:val>
          <c:extLst>
            <c:ext xmlns:c16="http://schemas.microsoft.com/office/drawing/2014/chart" uri="{C3380CC4-5D6E-409C-BE32-E72D297353CC}">
              <c16:uniqueId val="{00000004-DEB9-4FB2-AE8F-A8AE64D05E98}"/>
            </c:ext>
          </c:extLst>
        </c:ser>
        <c:ser>
          <c:idx val="2"/>
          <c:order val="2"/>
          <c:tx>
            <c:strRef>
              <c:f>'Sexual behavior'!$H$72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behavior'!$H$73:$H$88</c:f>
              <c:numCache>
                <c:formatCode>General</c:formatCode>
                <c:ptCount val="16"/>
                <c:pt idx="0">
                  <c:v>0</c:v>
                </c:pt>
                <c:pt idx="1">
                  <c:v>0</c:v>
                </c:pt>
                <c:pt idx="2">
                  <c:v>0</c:v>
                </c:pt>
                <c:pt idx="3">
                  <c:v>2.343E-3</c:v>
                </c:pt>
                <c:pt idx="4">
                  <c:v>8.8339999999999998E-3</c:v>
                </c:pt>
                <c:pt idx="5">
                  <c:v>1.1391E-2</c:v>
                </c:pt>
                <c:pt idx="6">
                  <c:v>3.2200000000000002E-3</c:v>
                </c:pt>
                <c:pt idx="7">
                  <c:v>3.7599999999999999E-3</c:v>
                </c:pt>
                <c:pt idx="8">
                  <c:v>3.1900000000000001E-3</c:v>
                </c:pt>
                <c:pt idx="9">
                  <c:v>1.059E-3</c:v>
                </c:pt>
                <c:pt idx="10">
                  <c:v>1.1051999999999999E-2</c:v>
                </c:pt>
                <c:pt idx="11">
                  <c:v>1.1051999999999999E-2</c:v>
                </c:pt>
                <c:pt idx="12">
                  <c:v>1.1051999999999999E-2</c:v>
                </c:pt>
                <c:pt idx="13">
                  <c:v>1.1051999999999999E-2</c:v>
                </c:pt>
                <c:pt idx="14">
                  <c:v>1.1051999999999999E-2</c:v>
                </c:pt>
                <c:pt idx="15">
                  <c:v>1.1051999999999999E-2</c:v>
                </c:pt>
              </c:numCache>
            </c:numRef>
          </c:val>
          <c:extLst>
            <c:ext xmlns:c16="http://schemas.microsoft.com/office/drawing/2014/chart" uri="{C3380CC4-5D6E-409C-BE32-E72D297353CC}">
              <c16:uniqueId val="{00000005-DEB9-4FB2-AE8F-A8AE64D05E98}"/>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 fertility rates UN vs 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Fertility!$B$94</c:f>
              <c:strCache>
                <c:ptCount val="1"/>
                <c:pt idx="0">
                  <c:v>15-19</c:v>
                </c:pt>
              </c:strCache>
            </c:strRef>
          </c:tx>
          <c:spPr>
            <a:ln w="28575" cap="rnd">
              <a:solidFill>
                <a:schemeClr val="accent1"/>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Fertility!$C$94:$Q$94</c:f>
              <c:numCache>
                <c:formatCode>##0.0;\-##0.0;0</c:formatCode>
                <c:ptCount val="15"/>
                <c:pt idx="0">
                  <c:v>169.071</c:v>
                </c:pt>
                <c:pt idx="1">
                  <c:v>175.941</c:v>
                </c:pt>
                <c:pt idx="2">
                  <c:v>182.26900000000001</c:v>
                </c:pt>
                <c:pt idx="3">
                  <c:v>183.286</c:v>
                </c:pt>
                <c:pt idx="4">
                  <c:v>180.57400000000001</c:v>
                </c:pt>
                <c:pt idx="5">
                  <c:v>172.66399999999999</c:v>
                </c:pt>
                <c:pt idx="6">
                  <c:v>163.08199999999999</c:v>
                </c:pt>
                <c:pt idx="7">
                  <c:v>147.75899999999999</c:v>
                </c:pt>
                <c:pt idx="8">
                  <c:v>115.26</c:v>
                </c:pt>
                <c:pt idx="9">
                  <c:v>111.494</c:v>
                </c:pt>
                <c:pt idx="10">
                  <c:v>104.2</c:v>
                </c:pt>
                <c:pt idx="11">
                  <c:v>97.091999999999999</c:v>
                </c:pt>
                <c:pt idx="12">
                  <c:v>86.153000000000006</c:v>
                </c:pt>
                <c:pt idx="13">
                  <c:v>75.078000000000003</c:v>
                </c:pt>
                <c:pt idx="14">
                  <c:v>69.908000000000001</c:v>
                </c:pt>
              </c:numCache>
            </c:numRef>
          </c:val>
          <c:smooth val="0"/>
          <c:extLst>
            <c:ext xmlns:c16="http://schemas.microsoft.com/office/drawing/2014/chart" uri="{C3380CC4-5D6E-409C-BE32-E72D297353CC}">
              <c16:uniqueId val="{00000000-0FF6-45FF-BD85-1476F7F79997}"/>
            </c:ext>
          </c:extLst>
        </c:ser>
        <c:ser>
          <c:idx val="1"/>
          <c:order val="1"/>
          <c:tx>
            <c:strRef>
              <c:f>Fertility!$B$95</c:f>
              <c:strCache>
                <c:ptCount val="1"/>
                <c:pt idx="0">
                  <c:v>20-24</c:v>
                </c:pt>
              </c:strCache>
            </c:strRef>
          </c:tx>
          <c:spPr>
            <a:ln w="28575" cap="rnd">
              <a:solidFill>
                <a:schemeClr val="accent2"/>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Fertility!$C$95:$Q$95</c:f>
              <c:numCache>
                <c:formatCode>##0.0;\-##0.0;0</c:formatCode>
                <c:ptCount val="15"/>
                <c:pt idx="0">
                  <c:v>351.60700000000003</c:v>
                </c:pt>
                <c:pt idx="1">
                  <c:v>365.89499999999998</c:v>
                </c:pt>
                <c:pt idx="2">
                  <c:v>379.05500000000001</c:v>
                </c:pt>
                <c:pt idx="3">
                  <c:v>381.17</c:v>
                </c:pt>
                <c:pt idx="4">
                  <c:v>375.53</c:v>
                </c:pt>
                <c:pt idx="5">
                  <c:v>359.08</c:v>
                </c:pt>
                <c:pt idx="6">
                  <c:v>339.15199999999999</c:v>
                </c:pt>
                <c:pt idx="7">
                  <c:v>307.286</c:v>
                </c:pt>
                <c:pt idx="8">
                  <c:v>268.94</c:v>
                </c:pt>
                <c:pt idx="9">
                  <c:v>260.65199999999999</c:v>
                </c:pt>
                <c:pt idx="10">
                  <c:v>243.6</c:v>
                </c:pt>
                <c:pt idx="11">
                  <c:v>227.10599999999999</c:v>
                </c:pt>
                <c:pt idx="12">
                  <c:v>201.94499999999999</c:v>
                </c:pt>
                <c:pt idx="13">
                  <c:v>176.53700000000001</c:v>
                </c:pt>
                <c:pt idx="14">
                  <c:v>165.084</c:v>
                </c:pt>
              </c:numCache>
            </c:numRef>
          </c:val>
          <c:smooth val="0"/>
          <c:extLst>
            <c:ext xmlns:c16="http://schemas.microsoft.com/office/drawing/2014/chart" uri="{C3380CC4-5D6E-409C-BE32-E72D297353CC}">
              <c16:uniqueId val="{00000001-0FF6-45FF-BD85-1476F7F79997}"/>
            </c:ext>
          </c:extLst>
        </c:ser>
        <c:ser>
          <c:idx val="2"/>
          <c:order val="2"/>
          <c:tx>
            <c:strRef>
              <c:f>Fertility!$B$96</c:f>
              <c:strCache>
                <c:ptCount val="1"/>
                <c:pt idx="0">
                  <c:v>25-29</c:v>
                </c:pt>
              </c:strCache>
            </c:strRef>
          </c:tx>
          <c:spPr>
            <a:ln w="28575" cap="rnd">
              <a:solidFill>
                <a:schemeClr val="accent3"/>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Fertility!$C$96:$Q$96</c:f>
              <c:numCache>
                <c:formatCode>##0.0;\-##0.0;0</c:formatCode>
                <c:ptCount val="15"/>
                <c:pt idx="0">
                  <c:v>338.14100000000002</c:v>
                </c:pt>
                <c:pt idx="1">
                  <c:v>351.88200000000001</c:v>
                </c:pt>
                <c:pt idx="2">
                  <c:v>364.53800000000001</c:v>
                </c:pt>
                <c:pt idx="3">
                  <c:v>366.572</c:v>
                </c:pt>
                <c:pt idx="4">
                  <c:v>361.14800000000002</c:v>
                </c:pt>
                <c:pt idx="5">
                  <c:v>345.32799999999997</c:v>
                </c:pt>
                <c:pt idx="6">
                  <c:v>326.16300000000001</c:v>
                </c:pt>
                <c:pt idx="7">
                  <c:v>295.517</c:v>
                </c:pt>
                <c:pt idx="8">
                  <c:v>251.99</c:v>
                </c:pt>
                <c:pt idx="9">
                  <c:v>253.26900000000001</c:v>
                </c:pt>
                <c:pt idx="10">
                  <c:v>236.7</c:v>
                </c:pt>
                <c:pt idx="11">
                  <c:v>221.43299999999999</c:v>
                </c:pt>
                <c:pt idx="12">
                  <c:v>202.35</c:v>
                </c:pt>
                <c:pt idx="13">
                  <c:v>179.768</c:v>
                </c:pt>
                <c:pt idx="14">
                  <c:v>171.83699999999999</c:v>
                </c:pt>
              </c:numCache>
            </c:numRef>
          </c:val>
          <c:smooth val="0"/>
          <c:extLst>
            <c:ext xmlns:c16="http://schemas.microsoft.com/office/drawing/2014/chart" uri="{C3380CC4-5D6E-409C-BE32-E72D297353CC}">
              <c16:uniqueId val="{00000002-0FF6-45FF-BD85-1476F7F79997}"/>
            </c:ext>
          </c:extLst>
        </c:ser>
        <c:ser>
          <c:idx val="3"/>
          <c:order val="3"/>
          <c:tx>
            <c:strRef>
              <c:f>Fertility!$B$97</c:f>
              <c:strCache>
                <c:ptCount val="1"/>
                <c:pt idx="0">
                  <c:v>30-34</c:v>
                </c:pt>
              </c:strCache>
            </c:strRef>
          </c:tx>
          <c:spPr>
            <a:ln w="28575" cap="rnd">
              <a:solidFill>
                <a:schemeClr val="accent4"/>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Fertility!$C$97:$Q$97</c:f>
              <c:numCache>
                <c:formatCode>##0.0;\-##0.0;0</c:formatCode>
                <c:ptCount val="15"/>
                <c:pt idx="0">
                  <c:v>284.27800000000002</c:v>
                </c:pt>
                <c:pt idx="1">
                  <c:v>295.83</c:v>
                </c:pt>
                <c:pt idx="2">
                  <c:v>306.47000000000003</c:v>
                </c:pt>
                <c:pt idx="3">
                  <c:v>308.18</c:v>
                </c:pt>
                <c:pt idx="4">
                  <c:v>303.62</c:v>
                </c:pt>
                <c:pt idx="5">
                  <c:v>290.32</c:v>
                </c:pt>
                <c:pt idx="6">
                  <c:v>274.20800000000003</c:v>
                </c:pt>
                <c:pt idx="7">
                  <c:v>248.44399999999999</c:v>
                </c:pt>
                <c:pt idx="8">
                  <c:v>206.79</c:v>
                </c:pt>
                <c:pt idx="9">
                  <c:v>196.238</c:v>
                </c:pt>
                <c:pt idx="10">
                  <c:v>183.4</c:v>
                </c:pt>
                <c:pt idx="11">
                  <c:v>170.56200000000001</c:v>
                </c:pt>
                <c:pt idx="12">
                  <c:v>149.16399999999999</c:v>
                </c:pt>
                <c:pt idx="13">
                  <c:v>129.59200000000001</c:v>
                </c:pt>
                <c:pt idx="14">
                  <c:v>120.236</c:v>
                </c:pt>
              </c:numCache>
            </c:numRef>
          </c:val>
          <c:smooth val="0"/>
          <c:extLst>
            <c:ext xmlns:c16="http://schemas.microsoft.com/office/drawing/2014/chart" uri="{C3380CC4-5D6E-409C-BE32-E72D297353CC}">
              <c16:uniqueId val="{00000003-0FF6-45FF-BD85-1476F7F79997}"/>
            </c:ext>
          </c:extLst>
        </c:ser>
        <c:ser>
          <c:idx val="4"/>
          <c:order val="4"/>
          <c:tx>
            <c:strRef>
              <c:f>Fertility!$B$98</c:f>
              <c:strCache>
                <c:ptCount val="1"/>
                <c:pt idx="0">
                  <c:v>35-39</c:v>
                </c:pt>
              </c:strCache>
            </c:strRef>
          </c:tx>
          <c:spPr>
            <a:ln w="28575" cap="rnd">
              <a:solidFill>
                <a:srgbClr val="B07AD8"/>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Fertility!$C$98:$Q$98</c:f>
              <c:numCache>
                <c:formatCode>##0.0;\-##0.0;0</c:formatCode>
                <c:ptCount val="15"/>
                <c:pt idx="0">
                  <c:v>203.483</c:v>
                </c:pt>
                <c:pt idx="1">
                  <c:v>211.75200000000001</c:v>
                </c:pt>
                <c:pt idx="2">
                  <c:v>219.36799999999999</c:v>
                </c:pt>
                <c:pt idx="3">
                  <c:v>220.59200000000001</c:v>
                </c:pt>
                <c:pt idx="4">
                  <c:v>217.328</c:v>
                </c:pt>
                <c:pt idx="5">
                  <c:v>207.80799999999999</c:v>
                </c:pt>
                <c:pt idx="6">
                  <c:v>196.27500000000001</c:v>
                </c:pt>
                <c:pt idx="7">
                  <c:v>177.834</c:v>
                </c:pt>
                <c:pt idx="8">
                  <c:v>161.59</c:v>
                </c:pt>
                <c:pt idx="9">
                  <c:v>143.273</c:v>
                </c:pt>
                <c:pt idx="10">
                  <c:v>133.9</c:v>
                </c:pt>
                <c:pt idx="11">
                  <c:v>123.69</c:v>
                </c:pt>
                <c:pt idx="12">
                  <c:v>102.069</c:v>
                </c:pt>
                <c:pt idx="13">
                  <c:v>85.85</c:v>
                </c:pt>
                <c:pt idx="14">
                  <c:v>76.216999999999999</c:v>
                </c:pt>
              </c:numCache>
            </c:numRef>
          </c:val>
          <c:smooth val="0"/>
          <c:extLst>
            <c:ext xmlns:c16="http://schemas.microsoft.com/office/drawing/2014/chart" uri="{C3380CC4-5D6E-409C-BE32-E72D297353CC}">
              <c16:uniqueId val="{00000004-0FF6-45FF-BD85-1476F7F79997}"/>
            </c:ext>
          </c:extLst>
        </c:ser>
        <c:ser>
          <c:idx val="5"/>
          <c:order val="5"/>
          <c:tx>
            <c:strRef>
              <c:f>Fertility!$B$99</c:f>
              <c:strCache>
                <c:ptCount val="1"/>
                <c:pt idx="0">
                  <c:v>40-44</c:v>
                </c:pt>
              </c:strCache>
            </c:strRef>
          </c:tx>
          <c:spPr>
            <a:ln w="28575" cap="rnd">
              <a:solidFill>
                <a:schemeClr val="accent6"/>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Fertility!$C$99:$Q$99</c:f>
              <c:numCache>
                <c:formatCode>##0.0;\-##0.0;0</c:formatCode>
                <c:ptCount val="15"/>
                <c:pt idx="0">
                  <c:v>110.71899999999999</c:v>
                </c:pt>
                <c:pt idx="1">
                  <c:v>115.218</c:v>
                </c:pt>
                <c:pt idx="2">
                  <c:v>119.36199999999999</c:v>
                </c:pt>
                <c:pt idx="3">
                  <c:v>120.02800000000001</c:v>
                </c:pt>
                <c:pt idx="4">
                  <c:v>118.252</c:v>
                </c:pt>
                <c:pt idx="5">
                  <c:v>113.072</c:v>
                </c:pt>
                <c:pt idx="6">
                  <c:v>106.797</c:v>
                </c:pt>
                <c:pt idx="7">
                  <c:v>96.762</c:v>
                </c:pt>
                <c:pt idx="8">
                  <c:v>73.45</c:v>
                </c:pt>
                <c:pt idx="9">
                  <c:v>62.381</c:v>
                </c:pt>
                <c:pt idx="10">
                  <c:v>58.3</c:v>
                </c:pt>
                <c:pt idx="11">
                  <c:v>53.567999999999998</c:v>
                </c:pt>
                <c:pt idx="12">
                  <c:v>42.386000000000003</c:v>
                </c:pt>
                <c:pt idx="13">
                  <c:v>34.78</c:v>
                </c:pt>
                <c:pt idx="14">
                  <c:v>29.864000000000001</c:v>
                </c:pt>
              </c:numCache>
            </c:numRef>
          </c:val>
          <c:smooth val="0"/>
          <c:extLst>
            <c:ext xmlns:c16="http://schemas.microsoft.com/office/drawing/2014/chart" uri="{C3380CC4-5D6E-409C-BE32-E72D297353CC}">
              <c16:uniqueId val="{00000005-0FF6-45FF-BD85-1476F7F79997}"/>
            </c:ext>
          </c:extLst>
        </c:ser>
        <c:ser>
          <c:idx val="6"/>
          <c:order val="6"/>
          <c:tx>
            <c:strRef>
              <c:f>Fertility!$B$100</c:f>
              <c:strCache>
                <c:ptCount val="1"/>
                <c:pt idx="0">
                  <c:v>45-49</c:v>
                </c:pt>
              </c:strCache>
            </c:strRef>
          </c:tx>
          <c:spPr>
            <a:ln w="28575" cap="rnd">
              <a:solidFill>
                <a:schemeClr val="accent1">
                  <a:lumMod val="60000"/>
                </a:schemeClr>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Fertility!$C$100:$Q$100</c:f>
              <c:numCache>
                <c:formatCode>##0.0;\-##0.0;0</c:formatCode>
                <c:ptCount val="15"/>
                <c:pt idx="0">
                  <c:v>38.901000000000003</c:v>
                </c:pt>
                <c:pt idx="1">
                  <c:v>40.481999999999999</c:v>
                </c:pt>
                <c:pt idx="2">
                  <c:v>41.938000000000002</c:v>
                </c:pt>
                <c:pt idx="3">
                  <c:v>42.171999999999997</c:v>
                </c:pt>
                <c:pt idx="4">
                  <c:v>41.548000000000002</c:v>
                </c:pt>
                <c:pt idx="5">
                  <c:v>39.728000000000002</c:v>
                </c:pt>
                <c:pt idx="6">
                  <c:v>37.523000000000003</c:v>
                </c:pt>
                <c:pt idx="7">
                  <c:v>33.997999999999998</c:v>
                </c:pt>
                <c:pt idx="8">
                  <c:v>51.98</c:v>
                </c:pt>
                <c:pt idx="9">
                  <c:v>42.692999999999998</c:v>
                </c:pt>
                <c:pt idx="10">
                  <c:v>39.9</c:v>
                </c:pt>
                <c:pt idx="11">
                  <c:v>36.548999999999999</c:v>
                </c:pt>
                <c:pt idx="12">
                  <c:v>27.933</c:v>
                </c:pt>
                <c:pt idx="13">
                  <c:v>22.395</c:v>
                </c:pt>
                <c:pt idx="14">
                  <c:v>18.614000000000001</c:v>
                </c:pt>
              </c:numCache>
            </c:numRef>
          </c:val>
          <c:smooth val="0"/>
          <c:extLst>
            <c:ext xmlns:c16="http://schemas.microsoft.com/office/drawing/2014/chart" uri="{C3380CC4-5D6E-409C-BE32-E72D297353CC}">
              <c16:uniqueId val="{00000006-0FF6-45FF-BD85-1476F7F79997}"/>
            </c:ext>
          </c:extLst>
        </c:ser>
        <c:ser>
          <c:idx val="7"/>
          <c:order val="7"/>
          <c:tx>
            <c:strRef>
              <c:f>Fertility!$B$147</c:f>
              <c:strCache>
                <c:ptCount val="1"/>
                <c:pt idx="0">
                  <c:v>15-19</c:v>
                </c:pt>
              </c:strCache>
            </c:strRef>
          </c:tx>
          <c:spPr>
            <a:ln w="28575" cap="rnd">
              <a:solidFill>
                <a:schemeClr val="accent1">
                  <a:alpha val="80000"/>
                </a:schemeClr>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Fertility!$H$147:$V$147</c:f>
              <c:numCache>
                <c:formatCode>0.00</c:formatCode>
                <c:ptCount val="15"/>
                <c:pt idx="0">
                  <c:v>182.26899999999998</c:v>
                </c:pt>
                <c:pt idx="1">
                  <c:v>182.26899999999998</c:v>
                </c:pt>
                <c:pt idx="2">
                  <c:v>182.26899999999998</c:v>
                </c:pt>
                <c:pt idx="3">
                  <c:v>182.26899999999998</c:v>
                </c:pt>
                <c:pt idx="4">
                  <c:v>182.26899999999998</c:v>
                </c:pt>
                <c:pt idx="8">
                  <c:v>136.70175</c:v>
                </c:pt>
                <c:pt idx="14">
                  <c:v>77.919997500000008</c:v>
                </c:pt>
              </c:numCache>
            </c:numRef>
          </c:val>
          <c:smooth val="0"/>
          <c:extLst>
            <c:ext xmlns:c16="http://schemas.microsoft.com/office/drawing/2014/chart" uri="{C3380CC4-5D6E-409C-BE32-E72D297353CC}">
              <c16:uniqueId val="{00000001-9C99-4358-808A-38AB3525FAF8}"/>
            </c:ext>
          </c:extLst>
        </c:ser>
        <c:ser>
          <c:idx val="8"/>
          <c:order val="8"/>
          <c:tx>
            <c:strRef>
              <c:f>Fertility!$B$148</c:f>
              <c:strCache>
                <c:ptCount val="1"/>
                <c:pt idx="0">
                  <c:v>20-24</c:v>
                </c:pt>
              </c:strCache>
            </c:strRef>
          </c:tx>
          <c:spPr>
            <a:ln w="28575" cap="rnd">
              <a:solidFill>
                <a:schemeClr val="accent2"/>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Fertility!$H$148:$V$148</c:f>
              <c:numCache>
                <c:formatCode>0.00</c:formatCode>
                <c:ptCount val="15"/>
                <c:pt idx="0">
                  <c:v>379.05499999999995</c:v>
                </c:pt>
                <c:pt idx="1">
                  <c:v>379.05499999999995</c:v>
                </c:pt>
                <c:pt idx="2">
                  <c:v>379.05499999999995</c:v>
                </c:pt>
                <c:pt idx="3">
                  <c:v>379.05499999999995</c:v>
                </c:pt>
                <c:pt idx="4">
                  <c:v>379.05499999999995</c:v>
                </c:pt>
                <c:pt idx="8">
                  <c:v>284.29124999999999</c:v>
                </c:pt>
                <c:pt idx="14">
                  <c:v>162.04601249999999</c:v>
                </c:pt>
              </c:numCache>
            </c:numRef>
          </c:val>
          <c:smooth val="0"/>
          <c:extLst>
            <c:ext xmlns:c16="http://schemas.microsoft.com/office/drawing/2014/chart" uri="{C3380CC4-5D6E-409C-BE32-E72D297353CC}">
              <c16:uniqueId val="{00000002-9C99-4358-808A-38AB3525FAF8}"/>
            </c:ext>
          </c:extLst>
        </c:ser>
        <c:ser>
          <c:idx val="9"/>
          <c:order val="9"/>
          <c:tx>
            <c:strRef>
              <c:f>Fertility!$B$149</c:f>
              <c:strCache>
                <c:ptCount val="1"/>
                <c:pt idx="0">
                  <c:v>25-29</c:v>
                </c:pt>
              </c:strCache>
            </c:strRef>
          </c:tx>
          <c:spPr>
            <a:ln w="28575" cap="rnd">
              <a:solidFill>
                <a:schemeClr val="accent3"/>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Fertility!$H$149:$V$149</c:f>
              <c:numCache>
                <c:formatCode>0.00</c:formatCode>
                <c:ptCount val="15"/>
                <c:pt idx="0">
                  <c:v>364.53799999999995</c:v>
                </c:pt>
                <c:pt idx="1">
                  <c:v>364.53799999999995</c:v>
                </c:pt>
                <c:pt idx="2">
                  <c:v>364.53799999999995</c:v>
                </c:pt>
                <c:pt idx="3">
                  <c:v>364.53799999999995</c:v>
                </c:pt>
                <c:pt idx="4">
                  <c:v>364.53799999999995</c:v>
                </c:pt>
                <c:pt idx="8">
                  <c:v>273.40350000000001</c:v>
                </c:pt>
                <c:pt idx="14">
                  <c:v>155.83999500000002</c:v>
                </c:pt>
              </c:numCache>
            </c:numRef>
          </c:val>
          <c:smooth val="0"/>
          <c:extLst>
            <c:ext xmlns:c16="http://schemas.microsoft.com/office/drawing/2014/chart" uri="{C3380CC4-5D6E-409C-BE32-E72D297353CC}">
              <c16:uniqueId val="{00000003-9C99-4358-808A-38AB3525FAF8}"/>
            </c:ext>
          </c:extLst>
        </c:ser>
        <c:ser>
          <c:idx val="10"/>
          <c:order val="10"/>
          <c:tx>
            <c:strRef>
              <c:f>Fertility!$B$150</c:f>
              <c:strCache>
                <c:ptCount val="1"/>
                <c:pt idx="0">
                  <c:v>30-34</c:v>
                </c:pt>
              </c:strCache>
            </c:strRef>
          </c:tx>
          <c:spPr>
            <a:ln w="28575" cap="rnd">
              <a:solidFill>
                <a:schemeClr val="accent4"/>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Fertility!$H$150:$V$150</c:f>
              <c:numCache>
                <c:formatCode>0.00</c:formatCode>
                <c:ptCount val="15"/>
                <c:pt idx="0">
                  <c:v>306.47000000000003</c:v>
                </c:pt>
                <c:pt idx="1">
                  <c:v>306.47000000000003</c:v>
                </c:pt>
                <c:pt idx="2">
                  <c:v>306.47000000000003</c:v>
                </c:pt>
                <c:pt idx="3">
                  <c:v>306.47000000000003</c:v>
                </c:pt>
                <c:pt idx="4">
                  <c:v>306.47000000000003</c:v>
                </c:pt>
                <c:pt idx="8">
                  <c:v>229.85249999999999</c:v>
                </c:pt>
                <c:pt idx="14">
                  <c:v>131.01592500000001</c:v>
                </c:pt>
              </c:numCache>
            </c:numRef>
          </c:val>
          <c:smooth val="0"/>
          <c:extLst>
            <c:ext xmlns:c16="http://schemas.microsoft.com/office/drawing/2014/chart" uri="{C3380CC4-5D6E-409C-BE32-E72D297353CC}">
              <c16:uniqueId val="{00000004-9C99-4358-808A-38AB3525FAF8}"/>
            </c:ext>
          </c:extLst>
        </c:ser>
        <c:ser>
          <c:idx val="11"/>
          <c:order val="11"/>
          <c:tx>
            <c:strRef>
              <c:f>Fertility!$B$151</c:f>
              <c:strCache>
                <c:ptCount val="1"/>
                <c:pt idx="0">
                  <c:v>35-39</c:v>
                </c:pt>
              </c:strCache>
            </c:strRef>
          </c:tx>
          <c:spPr>
            <a:ln w="28575" cap="rnd">
              <a:solidFill>
                <a:srgbClr val="B07AD8"/>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Fertility!$H$151:$V$151</c:f>
              <c:numCache>
                <c:formatCode>0.00</c:formatCode>
                <c:ptCount val="15"/>
                <c:pt idx="0">
                  <c:v>219.36799999999999</c:v>
                </c:pt>
                <c:pt idx="1">
                  <c:v>219.36799999999999</c:v>
                </c:pt>
                <c:pt idx="2">
                  <c:v>219.36799999999999</c:v>
                </c:pt>
                <c:pt idx="3">
                  <c:v>219.36799999999999</c:v>
                </c:pt>
                <c:pt idx="4">
                  <c:v>219.36799999999999</c:v>
                </c:pt>
                <c:pt idx="8">
                  <c:v>164.52600000000001</c:v>
                </c:pt>
                <c:pt idx="14">
                  <c:v>93.779820000000001</c:v>
                </c:pt>
              </c:numCache>
            </c:numRef>
          </c:val>
          <c:smooth val="0"/>
          <c:extLst>
            <c:ext xmlns:c16="http://schemas.microsoft.com/office/drawing/2014/chart" uri="{C3380CC4-5D6E-409C-BE32-E72D297353CC}">
              <c16:uniqueId val="{00000005-9C99-4358-808A-38AB3525FAF8}"/>
            </c:ext>
          </c:extLst>
        </c:ser>
        <c:ser>
          <c:idx val="12"/>
          <c:order val="12"/>
          <c:tx>
            <c:strRef>
              <c:f>Fertility!$B$152</c:f>
              <c:strCache>
                <c:ptCount val="1"/>
                <c:pt idx="0">
                  <c:v>40-44</c:v>
                </c:pt>
              </c:strCache>
            </c:strRef>
          </c:tx>
          <c:spPr>
            <a:ln w="28575" cap="rnd">
              <a:solidFill>
                <a:schemeClr val="accent6"/>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Fertility!$H$152:$V$152</c:f>
              <c:numCache>
                <c:formatCode>0.00</c:formatCode>
                <c:ptCount val="15"/>
                <c:pt idx="0">
                  <c:v>119.36199999999999</c:v>
                </c:pt>
                <c:pt idx="1">
                  <c:v>119.36199999999999</c:v>
                </c:pt>
                <c:pt idx="2">
                  <c:v>119.36199999999999</c:v>
                </c:pt>
                <c:pt idx="3">
                  <c:v>119.36199999999999</c:v>
                </c:pt>
                <c:pt idx="4">
                  <c:v>119.36199999999999</c:v>
                </c:pt>
                <c:pt idx="8">
                  <c:v>89.521500000000003</c:v>
                </c:pt>
                <c:pt idx="14">
                  <c:v>51.027255000000004</c:v>
                </c:pt>
              </c:numCache>
            </c:numRef>
          </c:val>
          <c:smooth val="0"/>
          <c:extLst>
            <c:ext xmlns:c16="http://schemas.microsoft.com/office/drawing/2014/chart" uri="{C3380CC4-5D6E-409C-BE32-E72D297353CC}">
              <c16:uniqueId val="{00000006-9C99-4358-808A-38AB3525FAF8}"/>
            </c:ext>
          </c:extLst>
        </c:ser>
        <c:ser>
          <c:idx val="13"/>
          <c:order val="13"/>
          <c:tx>
            <c:strRef>
              <c:f>Fertility!$B$153</c:f>
              <c:strCache>
                <c:ptCount val="1"/>
                <c:pt idx="0">
                  <c:v>45-49</c:v>
                </c:pt>
              </c:strCache>
            </c:strRef>
          </c:tx>
          <c:spPr>
            <a:ln w="28575" cap="rnd">
              <a:solidFill>
                <a:schemeClr val="accent5">
                  <a:lumMod val="75000"/>
                </a:schemeClr>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Fertility!$H$153:$V$153</c:f>
              <c:numCache>
                <c:formatCode>0.00</c:formatCode>
                <c:ptCount val="15"/>
                <c:pt idx="0">
                  <c:v>41.938000000000002</c:v>
                </c:pt>
                <c:pt idx="1">
                  <c:v>41.938000000000002</c:v>
                </c:pt>
                <c:pt idx="2">
                  <c:v>41.938000000000002</c:v>
                </c:pt>
                <c:pt idx="3">
                  <c:v>41.938000000000002</c:v>
                </c:pt>
                <c:pt idx="4">
                  <c:v>41.938000000000002</c:v>
                </c:pt>
                <c:pt idx="8">
                  <c:v>31.453500000000002</c:v>
                </c:pt>
                <c:pt idx="14">
                  <c:v>17.928494999999998</c:v>
                </c:pt>
              </c:numCache>
            </c:numRef>
          </c:val>
          <c:smooth val="0"/>
          <c:extLst>
            <c:ext xmlns:c16="http://schemas.microsoft.com/office/drawing/2014/chart" uri="{C3380CC4-5D6E-409C-BE32-E72D297353CC}">
              <c16:uniqueId val="{00000007-9C99-4358-808A-38AB3525FAF8}"/>
            </c:ext>
          </c:extLst>
        </c:ser>
        <c:dLbls>
          <c:showLegendKey val="0"/>
          <c:showVal val="0"/>
          <c:showCatName val="0"/>
          <c:showSerName val="0"/>
          <c:showPercent val="0"/>
          <c:showBubbleSize val="0"/>
        </c:dLbls>
        <c:smooth val="0"/>
        <c:axId val="707175944"/>
        <c:axId val="707176272"/>
      </c:lineChart>
      <c:catAx>
        <c:axId val="707175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6272"/>
        <c:crosses val="autoZero"/>
        <c:auto val="1"/>
        <c:lblAlgn val="ctr"/>
        <c:lblOffset val="100"/>
        <c:noMultiLvlLbl val="0"/>
      </c:catAx>
      <c:valAx>
        <c:axId val="70717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Rates, per 1000 women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5944"/>
        <c:crosses val="autoZero"/>
        <c:crossBetween val="between"/>
      </c:valAx>
      <c:spPr>
        <a:noFill/>
        <a:ln>
          <a:noFill/>
        </a:ln>
        <a:effectLst/>
      </c:spPr>
    </c:plotArea>
    <c:legend>
      <c:legendPos val="b"/>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Fertility!$B$101</c:f>
              <c:strCache>
                <c:ptCount val="1"/>
                <c:pt idx="0">
                  <c:v>TFR</c:v>
                </c:pt>
              </c:strCache>
            </c:strRef>
          </c:tx>
          <c:spPr>
            <a:ln w="28575" cap="rnd">
              <a:solidFill>
                <a:schemeClr val="accent2">
                  <a:lumMod val="60000"/>
                </a:schemeClr>
              </a:solidFill>
              <a:round/>
            </a:ln>
            <a:effectLst/>
          </c:spPr>
          <c:marker>
            <c:symbol val="none"/>
          </c:marker>
          <c:trendline>
            <c:spPr>
              <a:ln w="19050" cap="rnd">
                <a:solidFill>
                  <a:schemeClr val="accent2">
                    <a:lumMod val="60000"/>
                  </a:schemeClr>
                </a:solidFill>
                <a:prstDash val="sysDot"/>
              </a:ln>
              <a:effectLst/>
            </c:spPr>
            <c:trendlineType val="linear"/>
            <c:dispRSqr val="0"/>
            <c:dispEq val="1"/>
            <c:trendlineLbl>
              <c:layout>
                <c:manualLayout>
                  <c:x val="-1.3875185485703538E-2"/>
                  <c:y val="4.753641429498467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extLst>
                <c:ext xmlns:c15="http://schemas.microsoft.com/office/drawing/2012/chart" uri="{02D57815-91ED-43cb-92C2-25804820EDAC}">
                  <c15:fullRef>
                    <c15:sqref>Fertility!$C$93:$AF$93</c15:sqref>
                  </c15:fullRef>
                </c:ext>
              </c:extLst>
              <c:f>Fertility!$C$93:$AA$93</c:f>
              <c:strCache>
                <c:ptCount val="2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pt idx="19">
                  <c:v>2045-2050</c:v>
                </c:pt>
                <c:pt idx="20">
                  <c:v>2050-2055</c:v>
                </c:pt>
                <c:pt idx="21">
                  <c:v>2055-2060</c:v>
                </c:pt>
                <c:pt idx="22">
                  <c:v>2060-2065</c:v>
                </c:pt>
                <c:pt idx="23">
                  <c:v>2065-2070</c:v>
                </c:pt>
                <c:pt idx="24">
                  <c:v>2070-2075</c:v>
                </c:pt>
              </c:strCache>
            </c:strRef>
          </c:cat>
          <c:val>
            <c:numRef>
              <c:extLst>
                <c:ext xmlns:c15="http://schemas.microsoft.com/office/drawing/2012/chart" uri="{02D57815-91ED-43cb-92C2-25804820EDAC}">
                  <c15:fullRef>
                    <c15:sqref>Fertility!$C$101:$AF$101</c15:sqref>
                  </c15:fullRef>
                </c:ext>
              </c:extLst>
              <c:f>Fertility!$C$101:$AA$101</c:f>
              <c:numCache>
                <c:formatCode>General</c:formatCode>
                <c:ptCount val="25"/>
                <c:pt idx="0">
                  <c:v>7.4809999999999999</c:v>
                </c:pt>
                <c:pt idx="1">
                  <c:v>7.7850000000000001</c:v>
                </c:pt>
                <c:pt idx="2">
                  <c:v>8.0650000000000013</c:v>
                </c:pt>
                <c:pt idx="3">
                  <c:v>8.1100000000000012</c:v>
                </c:pt>
                <c:pt idx="4">
                  <c:v>7.99</c:v>
                </c:pt>
                <c:pt idx="5">
                  <c:v>7.64</c:v>
                </c:pt>
                <c:pt idx="6">
                  <c:v>7.2160000000000002</c:v>
                </c:pt>
                <c:pt idx="7">
                  <c:v>6.5380000000000003</c:v>
                </c:pt>
                <c:pt idx="8">
                  <c:v>5.65</c:v>
                </c:pt>
                <c:pt idx="9">
                  <c:v>5.35</c:v>
                </c:pt>
                <c:pt idx="10">
                  <c:v>4.9999999999999991</c:v>
                </c:pt>
                <c:pt idx="11">
                  <c:v>4.6500000000000004</c:v>
                </c:pt>
                <c:pt idx="12">
                  <c:v>4.0599999999999996</c:v>
                </c:pt>
                <c:pt idx="13">
                  <c:v>3.52</c:v>
                </c:pt>
                <c:pt idx="14">
                  <c:v>3.2588000000000008</c:v>
                </c:pt>
                <c:pt idx="15">
                  <c:v>3.0358999999999998</c:v>
                </c:pt>
                <c:pt idx="16">
                  <c:v>2.8525</c:v>
                </c:pt>
                <c:pt idx="17">
                  <c:v>2.6886999999999999</c:v>
                </c:pt>
                <c:pt idx="18">
                  <c:v>2.5554999999999999</c:v>
                </c:pt>
                <c:pt idx="19">
                  <c:v>2.4356</c:v>
                </c:pt>
                <c:pt idx="20">
                  <c:v>2.3313999999999995</c:v>
                </c:pt>
                <c:pt idx="21">
                  <c:v>2.2336999999999994</c:v>
                </c:pt>
                <c:pt idx="22">
                  <c:v>2.1492999999999998</c:v>
                </c:pt>
                <c:pt idx="23">
                  <c:v>2.0713000000000004</c:v>
                </c:pt>
                <c:pt idx="24">
                  <c:v>2.0036</c:v>
                </c:pt>
              </c:numCache>
            </c:numRef>
          </c:val>
          <c:smooth val="0"/>
          <c:extLst>
            <c:ext xmlns:c16="http://schemas.microsoft.com/office/drawing/2014/chart" uri="{C3380CC4-5D6E-409C-BE32-E72D297353CC}">
              <c16:uniqueId val="{00000007-FB58-4547-9E91-9A0B8DE0CA53}"/>
            </c:ext>
          </c:extLst>
        </c:ser>
        <c:dLbls>
          <c:showLegendKey val="0"/>
          <c:showVal val="0"/>
          <c:showCatName val="0"/>
          <c:showSerName val="0"/>
          <c:showPercent val="0"/>
          <c:showBubbleSize val="0"/>
        </c:dLbls>
        <c:smooth val="0"/>
        <c:axId val="711123888"/>
        <c:axId val="711129792"/>
      </c:lineChart>
      <c:catAx>
        <c:axId val="71112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9792"/>
        <c:crosses val="autoZero"/>
        <c:auto val="1"/>
        <c:lblAlgn val="ctr"/>
        <c:lblOffset val="100"/>
        <c:noMultiLvlLbl val="0"/>
      </c:catAx>
      <c:valAx>
        <c:axId val="71112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3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TFR Model vs UN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Fertility!$G$124</c:f>
              <c:strCache>
                <c:ptCount val="1"/>
                <c:pt idx="0">
                  <c:v>Model</c:v>
                </c:pt>
              </c:strCache>
            </c:strRef>
          </c:tx>
          <c:spPr>
            <a:ln w="28575" cap="rnd">
              <a:solidFill>
                <a:schemeClr val="accent1"/>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Fertility!$G$125:$G$144</c:f>
              <c:numCache>
                <c:formatCode>General</c:formatCode>
                <c:ptCount val="20"/>
                <c:pt idx="0">
                  <c:v>7.4809999999999999</c:v>
                </c:pt>
                <c:pt idx="1">
                  <c:v>7.4809999999999999</c:v>
                </c:pt>
                <c:pt idx="2">
                  <c:v>7.4809999999999999</c:v>
                </c:pt>
                <c:pt idx="3">
                  <c:v>7.4809999999999999</c:v>
                </c:pt>
                <c:pt idx="4">
                  <c:v>7.4809999999999999</c:v>
                </c:pt>
                <c:pt idx="5">
                  <c:v>7.4809999999999999</c:v>
                </c:pt>
                <c:pt idx="6">
                  <c:v>7.4809999999999999</c:v>
                </c:pt>
                <c:pt idx="7">
                  <c:v>7.4809999999999999</c:v>
                </c:pt>
                <c:pt idx="8">
                  <c:v>7.1069500000000003</c:v>
                </c:pt>
                <c:pt idx="9">
                  <c:v>6.7328999999999999</c:v>
                </c:pt>
                <c:pt idx="10">
                  <c:v>6.3588500000000003</c:v>
                </c:pt>
                <c:pt idx="11">
                  <c:v>5.9791002774989996</c:v>
                </c:pt>
                <c:pt idx="12">
                  <c:v>5.5663790347360003</c:v>
                </c:pt>
                <c:pt idx="13">
                  <c:v>4.9987303027299994</c:v>
                </c:pt>
                <c:pt idx="14">
                  <c:v>4.352978105949</c:v>
                </c:pt>
                <c:pt idx="15">
                  <c:v>3.8508793617579999</c:v>
                </c:pt>
                <c:pt idx="16">
                  <c:v>3.819383495701</c:v>
                </c:pt>
                <c:pt idx="17">
                  <c:v>3.7731554368700002</c:v>
                </c:pt>
                <c:pt idx="18">
                  <c:v>3.209527135179</c:v>
                </c:pt>
                <c:pt idx="19">
                  <c:v>2.7588941232209998</c:v>
                </c:pt>
              </c:numCache>
            </c:numRef>
          </c:val>
          <c:smooth val="0"/>
          <c:extLst>
            <c:ext xmlns:c16="http://schemas.microsoft.com/office/drawing/2014/chart" uri="{C3380CC4-5D6E-409C-BE32-E72D297353CC}">
              <c16:uniqueId val="{00000000-81CB-4267-8005-CB4A78241790}"/>
            </c:ext>
          </c:extLst>
        </c:ser>
        <c:ser>
          <c:idx val="1"/>
          <c:order val="1"/>
          <c:tx>
            <c:strRef>
              <c:f>Fertility!$H$124</c:f>
              <c:strCache>
                <c:ptCount val="1"/>
                <c:pt idx="0">
                  <c:v>UN</c:v>
                </c:pt>
              </c:strCache>
            </c:strRef>
          </c:tx>
          <c:spPr>
            <a:ln w="28575" cap="rnd">
              <a:solidFill>
                <a:schemeClr val="accent2"/>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Fertility!$H$125:$H$144</c:f>
              <c:numCache>
                <c:formatCode>General</c:formatCode>
                <c:ptCount val="20"/>
                <c:pt idx="5">
                  <c:v>7.4809999999999999</c:v>
                </c:pt>
                <c:pt idx="6">
                  <c:v>7.7850000000000001</c:v>
                </c:pt>
                <c:pt idx="7">
                  <c:v>8.0650000000000013</c:v>
                </c:pt>
                <c:pt idx="8">
                  <c:v>8.1100000000000012</c:v>
                </c:pt>
                <c:pt idx="9">
                  <c:v>7.99</c:v>
                </c:pt>
                <c:pt idx="10">
                  <c:v>7.64</c:v>
                </c:pt>
                <c:pt idx="11">
                  <c:v>7.2160000000000002</c:v>
                </c:pt>
                <c:pt idx="12">
                  <c:v>6.5380000000000003</c:v>
                </c:pt>
                <c:pt idx="13">
                  <c:v>5.65</c:v>
                </c:pt>
                <c:pt idx="14">
                  <c:v>5.35</c:v>
                </c:pt>
                <c:pt idx="15">
                  <c:v>4.9999999999999991</c:v>
                </c:pt>
                <c:pt idx="16">
                  <c:v>4.6500000000000004</c:v>
                </c:pt>
                <c:pt idx="17">
                  <c:v>4.0599999999999996</c:v>
                </c:pt>
                <c:pt idx="18">
                  <c:v>3.52</c:v>
                </c:pt>
                <c:pt idx="19">
                  <c:v>3.2588000000000008</c:v>
                </c:pt>
              </c:numCache>
            </c:numRef>
          </c:val>
          <c:smooth val="0"/>
          <c:extLst>
            <c:ext xmlns:c16="http://schemas.microsoft.com/office/drawing/2014/chart" uri="{C3380CC4-5D6E-409C-BE32-E72D297353CC}">
              <c16:uniqueId val="{00000001-81CB-4267-8005-CB4A78241790}"/>
            </c:ext>
          </c:extLst>
        </c:ser>
        <c:dLbls>
          <c:showLegendKey val="0"/>
          <c:showVal val="0"/>
          <c:showCatName val="0"/>
          <c:showSerName val="0"/>
          <c:showPercent val="0"/>
          <c:showBubbleSize val="0"/>
        </c:dLbls>
        <c:smooth val="0"/>
        <c:axId val="518061992"/>
        <c:axId val="518057728"/>
      </c:lineChart>
      <c:catAx>
        <c:axId val="51806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57728"/>
        <c:crosses val="autoZero"/>
        <c:auto val="1"/>
        <c:lblAlgn val="ctr"/>
        <c:lblOffset val="100"/>
        <c:noMultiLvlLbl val="0"/>
      </c:catAx>
      <c:valAx>
        <c:axId val="51805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61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1950 mortality</a:t>
            </a:r>
            <a:r>
              <a:rPr lang="en-US" baseline="0"/>
              <a:t> rates,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Mortality!$C$93</c:f>
              <c:strCache>
                <c:ptCount val="1"/>
                <c:pt idx="0">
                  <c:v>Male </c:v>
                </c:pt>
              </c:strCache>
            </c:strRef>
          </c:tx>
          <c:spPr>
            <a:ln w="28575" cap="rnd">
              <a:solidFill>
                <a:schemeClr val="accent1"/>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Mortality!$C$94:$C$109</c:f>
              <c:numCache>
                <c:formatCode>General</c:formatCode>
                <c:ptCount val="16"/>
                <c:pt idx="0">
                  <c:v>0.103242926</c:v>
                </c:pt>
                <c:pt idx="1">
                  <c:v>9.4971746999999995E-3</c:v>
                </c:pt>
                <c:pt idx="2">
                  <c:v>5.1269298E-3</c:v>
                </c:pt>
                <c:pt idx="3">
                  <c:v>6.2805239000000004E-3</c:v>
                </c:pt>
                <c:pt idx="4">
                  <c:v>8.8556143E-3</c:v>
                </c:pt>
                <c:pt idx="5">
                  <c:v>9.6151164000000001E-3</c:v>
                </c:pt>
                <c:pt idx="6">
                  <c:v>1.0607349E-2</c:v>
                </c:pt>
                <c:pt idx="7">
                  <c:v>1.2175375E-2</c:v>
                </c:pt>
                <c:pt idx="8">
                  <c:v>1.4291844999999999E-2</c:v>
                </c:pt>
                <c:pt idx="9">
                  <c:v>1.6435460999999998E-2</c:v>
                </c:pt>
                <c:pt idx="10">
                  <c:v>2.0325749000000001E-2</c:v>
                </c:pt>
                <c:pt idx="11">
                  <c:v>2.5028631999999999E-2</c:v>
                </c:pt>
                <c:pt idx="12">
                  <c:v>3.4517134999999997E-2</c:v>
                </c:pt>
                <c:pt idx="13">
                  <c:v>4.9521377999999998E-2</c:v>
                </c:pt>
                <c:pt idx="14">
                  <c:v>7.5421848E-2</c:v>
                </c:pt>
                <c:pt idx="15">
                  <c:v>0.11632903</c:v>
                </c:pt>
              </c:numCache>
            </c:numRef>
          </c:val>
          <c:smooth val="0"/>
          <c:extLst>
            <c:ext xmlns:c16="http://schemas.microsoft.com/office/drawing/2014/chart" uri="{C3380CC4-5D6E-409C-BE32-E72D297353CC}">
              <c16:uniqueId val="{00000000-D8EF-4B7F-991F-F46763F24005}"/>
            </c:ext>
          </c:extLst>
        </c:ser>
        <c:ser>
          <c:idx val="1"/>
          <c:order val="1"/>
          <c:tx>
            <c:strRef>
              <c:f>Mortality!$D$93</c:f>
              <c:strCache>
                <c:ptCount val="1"/>
                <c:pt idx="0">
                  <c:v>Female </c:v>
                </c:pt>
              </c:strCache>
            </c:strRef>
          </c:tx>
          <c:spPr>
            <a:ln w="28575" cap="rnd">
              <a:solidFill>
                <a:schemeClr val="accent2"/>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Mortality!$D$94:$D$109</c:f>
              <c:numCache>
                <c:formatCode>General</c:formatCode>
                <c:ptCount val="16"/>
                <c:pt idx="0">
                  <c:v>8.7651773500000002E-2</c:v>
                </c:pt>
                <c:pt idx="1">
                  <c:v>9.1480569999999994E-3</c:v>
                </c:pt>
                <c:pt idx="2">
                  <c:v>5.3875301999999998E-3</c:v>
                </c:pt>
                <c:pt idx="3">
                  <c:v>5.8872257000000001E-3</c:v>
                </c:pt>
                <c:pt idx="4">
                  <c:v>6.8645399000000001E-3</c:v>
                </c:pt>
                <c:pt idx="5">
                  <c:v>8.0548313000000007E-3</c:v>
                </c:pt>
                <c:pt idx="6">
                  <c:v>9.1846958999999995E-3</c:v>
                </c:pt>
                <c:pt idx="7">
                  <c:v>1.0401812999999999E-2</c:v>
                </c:pt>
                <c:pt idx="8">
                  <c:v>1.1626762000000001E-2</c:v>
                </c:pt>
                <c:pt idx="9">
                  <c:v>1.2549101999999999E-2</c:v>
                </c:pt>
                <c:pt idx="10">
                  <c:v>1.5731574000000002E-2</c:v>
                </c:pt>
                <c:pt idx="11">
                  <c:v>2.0328145999999998E-2</c:v>
                </c:pt>
                <c:pt idx="12">
                  <c:v>2.9738164000000001E-2</c:v>
                </c:pt>
                <c:pt idx="13">
                  <c:v>4.4950836000000001E-2</c:v>
                </c:pt>
                <c:pt idx="14">
                  <c:v>7.0557852000000004E-2</c:v>
                </c:pt>
                <c:pt idx="15">
                  <c:v>0.10963367</c:v>
                </c:pt>
              </c:numCache>
            </c:numRef>
          </c:val>
          <c:smooth val="0"/>
          <c:extLst>
            <c:ext xmlns:c16="http://schemas.microsoft.com/office/drawing/2014/chart" uri="{C3380CC4-5D6E-409C-BE32-E72D297353CC}">
              <c16:uniqueId val="{00000001-D8EF-4B7F-991F-F46763F24005}"/>
            </c:ext>
          </c:extLst>
        </c:ser>
        <c:dLbls>
          <c:showLegendKey val="0"/>
          <c:showVal val="0"/>
          <c:showCatName val="0"/>
          <c:showSerName val="0"/>
          <c:showPercent val="0"/>
          <c:showBubbleSize val="0"/>
        </c:dLbls>
        <c:smooth val="0"/>
        <c:axId val="787798688"/>
        <c:axId val="787795736"/>
      </c:lineChart>
      <c:catAx>
        <c:axId val="78779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5736"/>
        <c:crosses val="autoZero"/>
        <c:auto val="1"/>
        <c:lblAlgn val="ctr"/>
        <c:lblOffset val="100"/>
        <c:noMultiLvlLbl val="0"/>
      </c:catAx>
      <c:valAx>
        <c:axId val="787795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8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 mortality rates,</a:t>
            </a:r>
            <a:r>
              <a:rPr lang="en-US" baseline="0"/>
              <a:t> 2009 Census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Mortality!$C$71</c:f>
              <c:strCache>
                <c:ptCount val="1"/>
                <c:pt idx="0">
                  <c:v>Nyanza - female </c:v>
                </c:pt>
              </c:strCache>
            </c:strRef>
          </c:tx>
          <c:spPr>
            <a:ln w="22225" cap="rnd">
              <a:solidFill>
                <a:srgbClr val="7030A0">
                  <a:alpha val="70000"/>
                </a:srgbClr>
              </a:solidFill>
              <a:prstDash val="sysDash"/>
              <a:round/>
            </a:ln>
            <a:effectLst/>
          </c:spPr>
          <c:marker>
            <c:symbol val="none"/>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Mortality!$C$72:$C$88</c:f>
              <c:numCache>
                <c:formatCode>0.000</c:formatCode>
                <c:ptCount val="17"/>
                <c:pt idx="0">
                  <c:v>9.5000000000000001E-2</c:v>
                </c:pt>
                <c:pt idx="1">
                  <c:v>1.29E-2</c:v>
                </c:pt>
                <c:pt idx="2">
                  <c:v>2.3999999999999998E-3</c:v>
                </c:pt>
                <c:pt idx="3">
                  <c:v>2.8999999999999998E-3</c:v>
                </c:pt>
                <c:pt idx="4">
                  <c:v>1.9E-3</c:v>
                </c:pt>
                <c:pt idx="5">
                  <c:v>3.5999999999999999E-3</c:v>
                </c:pt>
                <c:pt idx="6">
                  <c:v>7.4000000000000003E-3</c:v>
                </c:pt>
                <c:pt idx="7">
                  <c:v>1.47E-2</c:v>
                </c:pt>
                <c:pt idx="8">
                  <c:v>1.9199999999999998E-2</c:v>
                </c:pt>
                <c:pt idx="9">
                  <c:v>1.4500000000000001E-2</c:v>
                </c:pt>
                <c:pt idx="10">
                  <c:v>1.29E-2</c:v>
                </c:pt>
                <c:pt idx="11">
                  <c:v>1.0200000000000001E-2</c:v>
                </c:pt>
                <c:pt idx="12">
                  <c:v>1.12E-2</c:v>
                </c:pt>
                <c:pt idx="13">
                  <c:v>1.5299999999999999E-2</c:v>
                </c:pt>
                <c:pt idx="14">
                  <c:v>2.41E-2</c:v>
                </c:pt>
                <c:pt idx="15">
                  <c:v>4.0399999999999998E-2</c:v>
                </c:pt>
                <c:pt idx="16">
                  <c:v>7.1400000000000005E-2</c:v>
                </c:pt>
              </c:numCache>
            </c:numRef>
          </c:val>
          <c:smooth val="0"/>
          <c:extLst>
            <c:ext xmlns:c16="http://schemas.microsoft.com/office/drawing/2014/chart" uri="{C3380CC4-5D6E-409C-BE32-E72D297353CC}">
              <c16:uniqueId val="{00000000-2242-4459-889D-A6D0CF5EF029}"/>
            </c:ext>
          </c:extLst>
        </c:ser>
        <c:ser>
          <c:idx val="1"/>
          <c:order val="1"/>
          <c:tx>
            <c:strRef>
              <c:f>Mortality!$D$71</c:f>
              <c:strCache>
                <c:ptCount val="1"/>
                <c:pt idx="0">
                  <c:v>Nyanza - male </c:v>
                </c:pt>
              </c:strCache>
            </c:strRef>
          </c:tx>
          <c:spPr>
            <a:ln w="22225" cap="rnd">
              <a:solidFill>
                <a:schemeClr val="accent4"/>
              </a:solidFill>
              <a:prstDash val="sysDash"/>
              <a:round/>
            </a:ln>
            <a:effectLst/>
          </c:spPr>
          <c:marker>
            <c:symbol val="none"/>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Mortality!$D$72:$D$88</c:f>
              <c:numCache>
                <c:formatCode>0.000</c:formatCode>
                <c:ptCount val="17"/>
                <c:pt idx="0">
                  <c:v>0.1226</c:v>
                </c:pt>
                <c:pt idx="1">
                  <c:v>1.52E-2</c:v>
                </c:pt>
                <c:pt idx="2">
                  <c:v>3.3999999999999998E-3</c:v>
                </c:pt>
                <c:pt idx="3">
                  <c:v>3.8999999999999998E-3</c:v>
                </c:pt>
                <c:pt idx="4">
                  <c:v>2.7000000000000001E-3</c:v>
                </c:pt>
                <c:pt idx="5">
                  <c:v>3.8E-3</c:v>
                </c:pt>
                <c:pt idx="6">
                  <c:v>6.4000000000000003E-3</c:v>
                </c:pt>
                <c:pt idx="7">
                  <c:v>1.18E-2</c:v>
                </c:pt>
                <c:pt idx="8">
                  <c:v>2.06E-2</c:v>
                </c:pt>
                <c:pt idx="9">
                  <c:v>2.1100000000000001E-2</c:v>
                </c:pt>
                <c:pt idx="10">
                  <c:v>2.1499999999999998E-2</c:v>
                </c:pt>
                <c:pt idx="11">
                  <c:v>1.7100000000000001E-2</c:v>
                </c:pt>
                <c:pt idx="12">
                  <c:v>1.6799999999999999E-2</c:v>
                </c:pt>
                <c:pt idx="13">
                  <c:v>2.1600000000000001E-2</c:v>
                </c:pt>
                <c:pt idx="14">
                  <c:v>3.1399999999999997E-2</c:v>
                </c:pt>
                <c:pt idx="15">
                  <c:v>4.7600000000000003E-2</c:v>
                </c:pt>
                <c:pt idx="16">
                  <c:v>7.5899999999999995E-2</c:v>
                </c:pt>
              </c:numCache>
            </c:numRef>
          </c:val>
          <c:smooth val="0"/>
          <c:extLst>
            <c:ext xmlns:c16="http://schemas.microsoft.com/office/drawing/2014/chart" uri="{C3380CC4-5D6E-409C-BE32-E72D297353CC}">
              <c16:uniqueId val="{00000001-2242-4459-889D-A6D0CF5EF029}"/>
            </c:ext>
          </c:extLst>
        </c:ser>
        <c:ser>
          <c:idx val="2"/>
          <c:order val="2"/>
          <c:tx>
            <c:strRef>
              <c:f>Mortality!$G$71</c:f>
              <c:strCache>
                <c:ptCount val="1"/>
                <c:pt idx="0">
                  <c:v>Kenya -female</c:v>
                </c:pt>
              </c:strCache>
            </c:strRef>
          </c:tx>
          <c:spPr>
            <a:ln w="28575" cap="rnd">
              <a:noFill/>
              <a:round/>
            </a:ln>
            <a:effectLst/>
          </c:spPr>
          <c:marker>
            <c:symbol val="circle"/>
            <c:size val="5"/>
            <c:spPr>
              <a:solidFill>
                <a:srgbClr val="7030A0">
                  <a:alpha val="70000"/>
                </a:srgbClr>
              </a:solidFill>
              <a:ln w="9525">
                <a:solidFill>
                  <a:srgbClr val="7030A0">
                    <a:alpha val="70000"/>
                  </a:srgbClr>
                </a:solidFill>
              </a:ln>
              <a:effectLst/>
            </c:spPr>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Mortality!$K$72:$K$88</c:f>
              <c:numCache>
                <c:formatCode>0.000</c:formatCode>
                <c:ptCount val="17"/>
                <c:pt idx="0">
                  <c:v>5.0099999999999999E-2</c:v>
                </c:pt>
                <c:pt idx="1">
                  <c:v>5.4999999999999997E-3</c:v>
                </c:pt>
                <c:pt idx="2">
                  <c:v>2.3E-3</c:v>
                </c:pt>
                <c:pt idx="3">
                  <c:v>2.3999999999999998E-3</c:v>
                </c:pt>
                <c:pt idx="4">
                  <c:v>1.8E-3</c:v>
                </c:pt>
                <c:pt idx="5">
                  <c:v>3.0000000000000001E-3</c:v>
                </c:pt>
                <c:pt idx="6">
                  <c:v>5.5999999999999999E-3</c:v>
                </c:pt>
                <c:pt idx="7">
                  <c:v>1.0699999999999999E-2</c:v>
                </c:pt>
                <c:pt idx="8">
                  <c:v>1.38E-2</c:v>
                </c:pt>
                <c:pt idx="9">
                  <c:v>1.0999999999999999E-2</c:v>
                </c:pt>
                <c:pt idx="10">
                  <c:v>1.01E-2</c:v>
                </c:pt>
                <c:pt idx="11">
                  <c:v>8.9999999999999993E-3</c:v>
                </c:pt>
                <c:pt idx="12">
                  <c:v>1.0200000000000001E-2</c:v>
                </c:pt>
                <c:pt idx="13">
                  <c:v>1.46E-2</c:v>
                </c:pt>
                <c:pt idx="14">
                  <c:v>2.3099999999999999E-2</c:v>
                </c:pt>
                <c:pt idx="15">
                  <c:v>3.78E-2</c:v>
                </c:pt>
                <c:pt idx="16">
                  <c:v>6.3100000000000003E-2</c:v>
                </c:pt>
              </c:numCache>
            </c:numRef>
          </c:val>
          <c:smooth val="0"/>
          <c:extLst>
            <c:ext xmlns:c16="http://schemas.microsoft.com/office/drawing/2014/chart" uri="{C3380CC4-5D6E-409C-BE32-E72D297353CC}">
              <c16:uniqueId val="{00000002-2242-4459-889D-A6D0CF5EF029}"/>
            </c:ext>
          </c:extLst>
        </c:ser>
        <c:ser>
          <c:idx val="3"/>
          <c:order val="3"/>
          <c:tx>
            <c:strRef>
              <c:f>Mortality!$H$71</c:f>
              <c:strCache>
                <c:ptCount val="1"/>
                <c:pt idx="0">
                  <c:v>Kenya - male</c:v>
                </c:pt>
              </c:strCache>
            </c:strRef>
          </c:tx>
          <c:spPr>
            <a:ln w="28575" cap="rnd">
              <a:noFill/>
              <a:round/>
            </a:ln>
            <a:effectLst/>
          </c:spPr>
          <c:marker>
            <c:symbol val="circle"/>
            <c:size val="5"/>
            <c:spPr>
              <a:solidFill>
                <a:schemeClr val="accent4"/>
              </a:solidFill>
              <a:ln w="9525">
                <a:solidFill>
                  <a:schemeClr val="accent4"/>
                </a:solidFill>
              </a:ln>
              <a:effectLst/>
            </c:spPr>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Mortality!$L$72:$L$88</c:f>
              <c:numCache>
                <c:formatCode>0.000</c:formatCode>
                <c:ptCount val="17"/>
                <c:pt idx="0">
                  <c:v>6.3200000000000006E-2</c:v>
                </c:pt>
                <c:pt idx="1">
                  <c:v>6.7000000000000002E-3</c:v>
                </c:pt>
                <c:pt idx="2">
                  <c:v>3.0000000000000001E-3</c:v>
                </c:pt>
                <c:pt idx="3">
                  <c:v>2.8999999999999998E-3</c:v>
                </c:pt>
                <c:pt idx="4">
                  <c:v>2.5000000000000001E-3</c:v>
                </c:pt>
                <c:pt idx="5">
                  <c:v>3.5000000000000001E-3</c:v>
                </c:pt>
                <c:pt idx="6">
                  <c:v>4.7999999999999996E-3</c:v>
                </c:pt>
                <c:pt idx="7">
                  <c:v>7.7000000000000002E-3</c:v>
                </c:pt>
                <c:pt idx="8">
                  <c:v>1.2200000000000001E-2</c:v>
                </c:pt>
                <c:pt idx="9">
                  <c:v>1.32E-2</c:v>
                </c:pt>
                <c:pt idx="10">
                  <c:v>1.4E-2</c:v>
                </c:pt>
                <c:pt idx="11">
                  <c:v>1.3299999999999999E-2</c:v>
                </c:pt>
                <c:pt idx="12">
                  <c:v>1.46E-2</c:v>
                </c:pt>
                <c:pt idx="13">
                  <c:v>2.0299999999999999E-2</c:v>
                </c:pt>
                <c:pt idx="14">
                  <c:v>0.03</c:v>
                </c:pt>
                <c:pt idx="15">
                  <c:v>4.6600000000000003E-2</c:v>
                </c:pt>
                <c:pt idx="16">
                  <c:v>7.4999999999999997E-2</c:v>
                </c:pt>
              </c:numCache>
            </c:numRef>
          </c:val>
          <c:smooth val="0"/>
          <c:extLst>
            <c:ext xmlns:c16="http://schemas.microsoft.com/office/drawing/2014/chart" uri="{C3380CC4-5D6E-409C-BE32-E72D297353CC}">
              <c16:uniqueId val="{00000003-2242-4459-889D-A6D0CF5EF029}"/>
            </c:ext>
          </c:extLst>
        </c:ser>
        <c:dLbls>
          <c:showLegendKey val="0"/>
          <c:showVal val="0"/>
          <c:showCatName val="0"/>
          <c:showSerName val="0"/>
          <c:showPercent val="0"/>
          <c:showBubbleSize val="0"/>
        </c:dLbls>
        <c:smooth val="0"/>
        <c:axId val="734991216"/>
        <c:axId val="734981048"/>
      </c:lineChart>
      <c:catAx>
        <c:axId val="73499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81048"/>
        <c:crosses val="autoZero"/>
        <c:auto val="1"/>
        <c:lblAlgn val="ctr"/>
        <c:lblOffset val="100"/>
        <c:noMultiLvlLbl val="0"/>
      </c:catAx>
      <c:valAx>
        <c:axId val="73498104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91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a:t>
            </a:r>
            <a:r>
              <a:rPr lang="en-US" baseline="0"/>
              <a:t> </a:t>
            </a:r>
            <a:r>
              <a:rPr lang="en-US"/>
              <a:t>mortality</a:t>
            </a:r>
            <a:r>
              <a:rPr lang="en-US" baseline="0"/>
              <a:t> ratios, Nyanza vs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Mortality!$E$71</c:f>
              <c:strCache>
                <c:ptCount val="1"/>
                <c:pt idx="0">
                  <c:v>Nynz to Ken ratio, female</c:v>
                </c:pt>
              </c:strCache>
            </c:strRef>
          </c:tx>
          <c:spPr>
            <a:ln w="22225" cap="rnd">
              <a:solidFill>
                <a:srgbClr val="7030A0">
                  <a:alpha val="70000"/>
                </a:srgbClr>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Mortality!$E$72:$E$88</c:f>
              <c:numCache>
                <c:formatCode>0.000</c:formatCode>
                <c:ptCount val="17"/>
                <c:pt idx="0">
                  <c:v>1.8962075848303395</c:v>
                </c:pt>
                <c:pt idx="1">
                  <c:v>2.3454545454545457</c:v>
                </c:pt>
                <c:pt idx="2">
                  <c:v>1.0434782608695652</c:v>
                </c:pt>
                <c:pt idx="3">
                  <c:v>1.2083333333333333</c:v>
                </c:pt>
                <c:pt idx="4">
                  <c:v>1.0555555555555556</c:v>
                </c:pt>
                <c:pt idx="5">
                  <c:v>1.2</c:v>
                </c:pt>
                <c:pt idx="6">
                  <c:v>1.3214285714285714</c:v>
                </c:pt>
                <c:pt idx="7">
                  <c:v>1.3738317757009346</c:v>
                </c:pt>
                <c:pt idx="8">
                  <c:v>1.3913043478260869</c:v>
                </c:pt>
                <c:pt idx="9">
                  <c:v>1.3181818181818183</c:v>
                </c:pt>
                <c:pt idx="10">
                  <c:v>1.2772277227722773</c:v>
                </c:pt>
                <c:pt idx="11">
                  <c:v>1.1333333333333335</c:v>
                </c:pt>
                <c:pt idx="12">
                  <c:v>1.0980392156862744</c:v>
                </c:pt>
                <c:pt idx="13">
                  <c:v>1.047945205479452</c:v>
                </c:pt>
                <c:pt idx="14">
                  <c:v>1.0432900432900434</c:v>
                </c:pt>
                <c:pt idx="15">
                  <c:v>1.0687830687830688</c:v>
                </c:pt>
                <c:pt idx="16">
                  <c:v>1.1315372424722663</c:v>
                </c:pt>
              </c:numCache>
            </c:numRef>
          </c:val>
          <c:smooth val="0"/>
          <c:extLst>
            <c:ext xmlns:c16="http://schemas.microsoft.com/office/drawing/2014/chart" uri="{C3380CC4-5D6E-409C-BE32-E72D297353CC}">
              <c16:uniqueId val="{00000000-83CE-474D-9E02-21A6935B5FB3}"/>
            </c:ext>
          </c:extLst>
        </c:ser>
        <c:ser>
          <c:idx val="1"/>
          <c:order val="1"/>
          <c:tx>
            <c:strRef>
              <c:f>Mortality!$I$71</c:f>
              <c:strCache>
                <c:ptCount val="1"/>
                <c:pt idx="0">
                  <c:v>Nynz to Ken ratio, male</c:v>
                </c:pt>
              </c:strCache>
            </c:strRef>
          </c:tx>
          <c:spPr>
            <a:ln w="22225" cap="rnd">
              <a:solidFill>
                <a:schemeClr val="accent4">
                  <a:alpha val="70000"/>
                </a:schemeClr>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Mortality!$I$72:$I$88</c:f>
              <c:numCache>
                <c:formatCode>General</c:formatCode>
                <c:ptCount val="17"/>
                <c:pt idx="0">
                  <c:v>1.9398734177215189</c:v>
                </c:pt>
                <c:pt idx="1">
                  <c:v>2.2686567164179103</c:v>
                </c:pt>
                <c:pt idx="2">
                  <c:v>1.1333333333333333</c:v>
                </c:pt>
                <c:pt idx="3">
                  <c:v>1.3448275862068966</c:v>
                </c:pt>
                <c:pt idx="4">
                  <c:v>1.08</c:v>
                </c:pt>
                <c:pt idx="5">
                  <c:v>1.0857142857142856</c:v>
                </c:pt>
                <c:pt idx="6">
                  <c:v>1.3333333333333335</c:v>
                </c:pt>
                <c:pt idx="7">
                  <c:v>1.5324675324675323</c:v>
                </c:pt>
                <c:pt idx="8">
                  <c:v>1.6885245901639343</c:v>
                </c:pt>
                <c:pt idx="9">
                  <c:v>1.5984848484848486</c:v>
                </c:pt>
                <c:pt idx="10">
                  <c:v>1.5357142857142856</c:v>
                </c:pt>
                <c:pt idx="11">
                  <c:v>1.2857142857142858</c:v>
                </c:pt>
                <c:pt idx="12">
                  <c:v>1.1506849315068493</c:v>
                </c:pt>
                <c:pt idx="13">
                  <c:v>1.0640394088669951</c:v>
                </c:pt>
                <c:pt idx="14">
                  <c:v>1.0466666666666666</c:v>
                </c:pt>
                <c:pt idx="15">
                  <c:v>1.0214592274678111</c:v>
                </c:pt>
                <c:pt idx="16">
                  <c:v>1.012</c:v>
                </c:pt>
              </c:numCache>
            </c:numRef>
          </c:val>
          <c:smooth val="0"/>
          <c:extLst>
            <c:ext xmlns:c16="http://schemas.microsoft.com/office/drawing/2014/chart" uri="{C3380CC4-5D6E-409C-BE32-E72D297353CC}">
              <c16:uniqueId val="{00000002-83CE-474D-9E02-21A6935B5FB3}"/>
            </c:ext>
          </c:extLst>
        </c:ser>
        <c:ser>
          <c:idx val="2"/>
          <c:order val="2"/>
          <c:tx>
            <c:strRef>
              <c:f>Mortality!$M$71</c:f>
              <c:strCache>
                <c:ptCount val="1"/>
              </c:strCache>
            </c:strRef>
          </c:tx>
          <c:spPr>
            <a:ln w="12700" cap="rnd">
              <a:solidFill>
                <a:schemeClr val="tx2"/>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Mortality!$M$72:$M$88</c:f>
              <c:numCache>
                <c:formatCode>General</c:formatCode>
                <c:ptCount val="17"/>
                <c:pt idx="0" formatCode="0.000">
                  <c:v>1</c:v>
                </c:pt>
                <c:pt idx="1">
                  <c:v>1</c:v>
                </c:pt>
                <c:pt idx="2" formatCode="0.000">
                  <c:v>1</c:v>
                </c:pt>
                <c:pt idx="3" formatCode="0.000">
                  <c:v>1</c:v>
                </c:pt>
                <c:pt idx="4" formatCode="0.000">
                  <c:v>1</c:v>
                </c:pt>
                <c:pt idx="5" formatCode="0.000">
                  <c:v>1</c:v>
                </c:pt>
                <c:pt idx="6" formatCode="0.000">
                  <c:v>1</c:v>
                </c:pt>
                <c:pt idx="7" formatCode="0.000">
                  <c:v>1</c:v>
                </c:pt>
                <c:pt idx="8" formatCode="0.000">
                  <c:v>1</c:v>
                </c:pt>
                <c:pt idx="9" formatCode="0.000">
                  <c:v>1</c:v>
                </c:pt>
                <c:pt idx="10" formatCode="0.000">
                  <c:v>1</c:v>
                </c:pt>
                <c:pt idx="11" formatCode="0.000">
                  <c:v>1</c:v>
                </c:pt>
                <c:pt idx="12" formatCode="0.000">
                  <c:v>1</c:v>
                </c:pt>
                <c:pt idx="13" formatCode="0.000">
                  <c:v>1</c:v>
                </c:pt>
                <c:pt idx="14" formatCode="0.000">
                  <c:v>1</c:v>
                </c:pt>
                <c:pt idx="15" formatCode="0.000">
                  <c:v>1</c:v>
                </c:pt>
                <c:pt idx="16" formatCode="0.000">
                  <c:v>1</c:v>
                </c:pt>
              </c:numCache>
            </c:numRef>
          </c:val>
          <c:smooth val="0"/>
          <c:extLst>
            <c:ext xmlns:c16="http://schemas.microsoft.com/office/drawing/2014/chart" uri="{C3380CC4-5D6E-409C-BE32-E72D297353CC}">
              <c16:uniqueId val="{00000003-83CE-474D-9E02-21A6935B5FB3}"/>
            </c:ext>
          </c:extLst>
        </c:ser>
        <c:dLbls>
          <c:showLegendKey val="0"/>
          <c:showVal val="0"/>
          <c:showCatName val="0"/>
          <c:showSerName val="0"/>
          <c:showPercent val="0"/>
          <c:showBubbleSize val="0"/>
        </c:dLbls>
        <c:smooth val="0"/>
        <c:axId val="611789248"/>
        <c:axId val="611782688"/>
      </c:lineChart>
      <c:catAx>
        <c:axId val="61178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82688"/>
        <c:crosses val="autoZero"/>
        <c:auto val="1"/>
        <c:lblAlgn val="ctr"/>
        <c:lblOffset val="100"/>
        <c:noMultiLvlLbl val="0"/>
      </c:catAx>
      <c:valAx>
        <c:axId val="611782688"/>
        <c:scaling>
          <c:orientation val="minMax"/>
          <c:min val="0.5"/>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89248"/>
        <c:crosses val="autoZero"/>
        <c:crossBetween val="between"/>
        <c:majorUnit val="0.5"/>
      </c:valAx>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'HIV prevalence'!$C$121</c:f>
              <c:strCache>
                <c:ptCount val="1"/>
                <c:pt idx="0">
                  <c:v>Kisumu </c:v>
                </c:pt>
              </c:strCache>
            </c:strRef>
          </c:tx>
          <c:spPr>
            <a:ln w="28575" cap="rnd">
              <a:solidFill>
                <a:schemeClr val="accent2"/>
              </a:solidFill>
              <a:round/>
            </a:ln>
            <a:effectLst/>
          </c:spPr>
          <c:marker>
            <c:symbol val="none"/>
          </c:marker>
          <c:cat>
            <c:numRef>
              <c:f>'HIV prevalence'!$B$122:$B$141</c:f>
              <c:numCache>
                <c:formatCode>General</c:formatCode>
                <c:ptCount val="2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2008</c:v>
                </c:pt>
                <c:pt idx="18">
                  <c:v>2010</c:v>
                </c:pt>
                <c:pt idx="19">
                  <c:v>2011</c:v>
                </c:pt>
              </c:numCache>
            </c:numRef>
          </c:cat>
          <c:val>
            <c:numRef>
              <c:f>'HIV prevalence'!$C$122:$C$141</c:f>
              <c:numCache>
                <c:formatCode>General</c:formatCode>
                <c:ptCount val="20"/>
                <c:pt idx="0">
                  <c:v>18</c:v>
                </c:pt>
                <c:pt idx="1">
                  <c:v>18</c:v>
                </c:pt>
                <c:pt idx="2">
                  <c:v>19</c:v>
                </c:pt>
                <c:pt idx="3">
                  <c:v>19</c:v>
                </c:pt>
                <c:pt idx="4">
                  <c:v>29</c:v>
                </c:pt>
                <c:pt idx="5">
                  <c:v>24</c:v>
                </c:pt>
                <c:pt idx="6">
                  <c:v>26</c:v>
                </c:pt>
                <c:pt idx="7">
                  <c:v>32</c:v>
                </c:pt>
                <c:pt idx="8">
                  <c:v>27</c:v>
                </c:pt>
                <c:pt idx="9">
                  <c:v>25</c:v>
                </c:pt>
                <c:pt idx="10">
                  <c:v>33</c:v>
                </c:pt>
                <c:pt idx="11">
                  <c:v>29</c:v>
                </c:pt>
                <c:pt idx="12">
                  <c:v>26</c:v>
                </c:pt>
                <c:pt idx="13">
                  <c:v>26</c:v>
                </c:pt>
                <c:pt idx="14">
                  <c:v>11.2</c:v>
                </c:pt>
                <c:pt idx="15">
                  <c:v>15.1</c:v>
                </c:pt>
                <c:pt idx="16">
                  <c:v>18.5</c:v>
                </c:pt>
                <c:pt idx="17">
                  <c:v>16.899999999999999</c:v>
                </c:pt>
                <c:pt idx="18">
                  <c:v>18.5</c:v>
                </c:pt>
                <c:pt idx="19">
                  <c:v>15.5</c:v>
                </c:pt>
              </c:numCache>
            </c:numRef>
          </c:val>
          <c:smooth val="0"/>
          <c:extLst>
            <c:ext xmlns:c16="http://schemas.microsoft.com/office/drawing/2014/chart" uri="{C3380CC4-5D6E-409C-BE32-E72D297353CC}">
              <c16:uniqueId val="{00000001-B090-4379-A325-D8887A696E88}"/>
            </c:ext>
          </c:extLst>
        </c:ser>
        <c:dLbls>
          <c:showLegendKey val="0"/>
          <c:showVal val="0"/>
          <c:showCatName val="0"/>
          <c:showSerName val="0"/>
          <c:showPercent val="0"/>
          <c:showBubbleSize val="0"/>
        </c:dLbls>
        <c:smooth val="0"/>
        <c:axId val="844921640"/>
        <c:axId val="844924920"/>
      </c:lineChart>
      <c:catAx>
        <c:axId val="84492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4920"/>
        <c:crosses val="autoZero"/>
        <c:auto val="1"/>
        <c:lblAlgn val="ctr"/>
        <c:lblOffset val="100"/>
        <c:noMultiLvlLbl val="0"/>
      </c:catAx>
      <c:valAx>
        <c:axId val="844924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1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2"/>
          <c:tx>
            <c:strRef>
              <c:f>'HIV prevalence'!$D$183</c:f>
              <c:strCache>
                <c:ptCount val="1"/>
                <c:pt idx="0">
                  <c:v>LB</c:v>
                </c:pt>
              </c:strCache>
            </c:strRef>
          </c:tx>
          <c:spPr>
            <a:noFill/>
            <a:ln>
              <a:noFill/>
            </a:ln>
            <a:effectLst/>
          </c:spPr>
          <c:val>
            <c:numRef>
              <c:f>'HIV prevalence'!$D$184:$D$212</c:f>
              <c:numCache>
                <c:formatCode>General</c:formatCode>
                <c:ptCount val="29"/>
                <c:pt idx="0">
                  <c:v>4.7</c:v>
                </c:pt>
                <c:pt idx="1">
                  <c:v>6</c:v>
                </c:pt>
                <c:pt idx="2">
                  <c:v>7.1</c:v>
                </c:pt>
                <c:pt idx="3">
                  <c:v>8.1</c:v>
                </c:pt>
                <c:pt idx="4">
                  <c:v>8.8000000000000007</c:v>
                </c:pt>
                <c:pt idx="5">
                  <c:v>9.3000000000000007</c:v>
                </c:pt>
                <c:pt idx="6">
                  <c:v>9.4</c:v>
                </c:pt>
                <c:pt idx="7">
                  <c:v>9.3000000000000007</c:v>
                </c:pt>
                <c:pt idx="8">
                  <c:v>9.1</c:v>
                </c:pt>
                <c:pt idx="9">
                  <c:v>8.8000000000000007</c:v>
                </c:pt>
                <c:pt idx="10">
                  <c:v>8.4</c:v>
                </c:pt>
                <c:pt idx="11">
                  <c:v>7.9</c:v>
                </c:pt>
                <c:pt idx="12">
                  <c:v>7.5</c:v>
                </c:pt>
                <c:pt idx="13">
                  <c:v>7</c:v>
                </c:pt>
                <c:pt idx="14">
                  <c:v>6.5</c:v>
                </c:pt>
                <c:pt idx="15">
                  <c:v>6.2</c:v>
                </c:pt>
                <c:pt idx="16">
                  <c:v>5.9</c:v>
                </c:pt>
                <c:pt idx="17">
                  <c:v>5.6</c:v>
                </c:pt>
                <c:pt idx="18">
                  <c:v>5.4</c:v>
                </c:pt>
                <c:pt idx="19">
                  <c:v>5.2</c:v>
                </c:pt>
                <c:pt idx="20">
                  <c:v>5.0999999999999996</c:v>
                </c:pt>
                <c:pt idx="21">
                  <c:v>4.9000000000000004</c:v>
                </c:pt>
                <c:pt idx="22">
                  <c:v>4.8</c:v>
                </c:pt>
                <c:pt idx="23">
                  <c:v>4.7</c:v>
                </c:pt>
                <c:pt idx="24">
                  <c:v>4.5999999999999996</c:v>
                </c:pt>
                <c:pt idx="25">
                  <c:v>4.4000000000000004</c:v>
                </c:pt>
                <c:pt idx="26">
                  <c:v>4.3</c:v>
                </c:pt>
                <c:pt idx="27">
                  <c:v>4.2</c:v>
                </c:pt>
                <c:pt idx="28">
                  <c:v>4</c:v>
                </c:pt>
              </c:numCache>
            </c:numRef>
          </c:val>
          <c:extLst>
            <c:ext xmlns:c16="http://schemas.microsoft.com/office/drawing/2014/chart" uri="{C3380CC4-5D6E-409C-BE32-E72D297353CC}">
              <c16:uniqueId val="{00000002-E250-4FE5-854C-9E928CE30293}"/>
            </c:ext>
          </c:extLst>
        </c:ser>
        <c:ser>
          <c:idx val="3"/>
          <c:order val="3"/>
          <c:tx>
            <c:strRef>
              <c:f>'HIV prevalence'!$G$183</c:f>
              <c:strCache>
                <c:ptCount val="1"/>
                <c:pt idx="0">
                  <c:v>CI </c:v>
                </c:pt>
              </c:strCache>
            </c:strRef>
          </c:tx>
          <c:spPr>
            <a:solidFill>
              <a:schemeClr val="accent4">
                <a:lumMod val="20000"/>
                <a:lumOff val="80000"/>
              </a:schemeClr>
            </a:solidFill>
            <a:ln>
              <a:noFill/>
            </a:ln>
            <a:effectLst/>
          </c:spPr>
          <c:val>
            <c:numRef>
              <c:f>'HIV prevalence'!$G$184:$G$212</c:f>
              <c:numCache>
                <c:formatCode>General</c:formatCode>
                <c:ptCount val="29"/>
                <c:pt idx="0">
                  <c:v>2</c:v>
                </c:pt>
                <c:pt idx="1">
                  <c:v>2.4000000000000004</c:v>
                </c:pt>
                <c:pt idx="2">
                  <c:v>2.9000000000000004</c:v>
                </c:pt>
                <c:pt idx="3">
                  <c:v>3.3000000000000007</c:v>
                </c:pt>
                <c:pt idx="4">
                  <c:v>3.5999999999999996</c:v>
                </c:pt>
                <c:pt idx="5">
                  <c:v>3.6999999999999993</c:v>
                </c:pt>
                <c:pt idx="6">
                  <c:v>3.7999999999999989</c:v>
                </c:pt>
                <c:pt idx="7">
                  <c:v>3.7999999999999989</c:v>
                </c:pt>
                <c:pt idx="8">
                  <c:v>3.7000000000000011</c:v>
                </c:pt>
                <c:pt idx="9">
                  <c:v>3.5</c:v>
                </c:pt>
                <c:pt idx="10">
                  <c:v>3.2999999999999989</c:v>
                </c:pt>
                <c:pt idx="11">
                  <c:v>3.1999999999999993</c:v>
                </c:pt>
                <c:pt idx="12">
                  <c:v>3</c:v>
                </c:pt>
                <c:pt idx="13">
                  <c:v>2.8000000000000007</c:v>
                </c:pt>
                <c:pt idx="14">
                  <c:v>2.6999999999999993</c:v>
                </c:pt>
                <c:pt idx="15">
                  <c:v>2.4999999999999991</c:v>
                </c:pt>
                <c:pt idx="16">
                  <c:v>2.2999999999999989</c:v>
                </c:pt>
                <c:pt idx="17">
                  <c:v>2.3000000000000007</c:v>
                </c:pt>
                <c:pt idx="18">
                  <c:v>2.1999999999999993</c:v>
                </c:pt>
                <c:pt idx="19">
                  <c:v>2.0999999999999996</c:v>
                </c:pt>
                <c:pt idx="20">
                  <c:v>2</c:v>
                </c:pt>
                <c:pt idx="21">
                  <c:v>2</c:v>
                </c:pt>
                <c:pt idx="22">
                  <c:v>1.9000000000000004</c:v>
                </c:pt>
                <c:pt idx="23">
                  <c:v>1.8999999999999995</c:v>
                </c:pt>
                <c:pt idx="24">
                  <c:v>1.8000000000000007</c:v>
                </c:pt>
                <c:pt idx="25">
                  <c:v>1.7999999999999998</c:v>
                </c:pt>
                <c:pt idx="26">
                  <c:v>1.7000000000000002</c:v>
                </c:pt>
                <c:pt idx="27">
                  <c:v>1.5999999999999996</c:v>
                </c:pt>
                <c:pt idx="28">
                  <c:v>1.7000000000000002</c:v>
                </c:pt>
              </c:numCache>
            </c:numRef>
          </c:val>
          <c:extLst>
            <c:ext xmlns:c16="http://schemas.microsoft.com/office/drawing/2014/chart" uri="{C3380CC4-5D6E-409C-BE32-E72D297353CC}">
              <c16:uniqueId val="{00000004-E250-4FE5-854C-9E928CE30293}"/>
            </c:ext>
          </c:extLst>
        </c:ser>
        <c:dLbls>
          <c:showLegendKey val="0"/>
          <c:showVal val="0"/>
          <c:showCatName val="0"/>
          <c:showSerName val="0"/>
          <c:showPercent val="0"/>
          <c:showBubbleSize val="0"/>
        </c:dLbls>
        <c:axId val="736922040"/>
        <c:axId val="736922368"/>
        <c:extLst>
          <c:ext xmlns:c15="http://schemas.microsoft.com/office/drawing/2012/chart" uri="{02D57815-91ED-43cb-92C2-25804820EDAC}">
            <c15:filteredAreaSeries>
              <c15:ser>
                <c:idx val="2"/>
                <c:order val="1"/>
                <c:tx>
                  <c:strRef>
                    <c:extLst>
                      <c:ext uri="{02D57815-91ED-43cb-92C2-25804820EDAC}">
                        <c15:formulaRef>
                          <c15:sqref>'HIV prevalence'!$E$183</c15:sqref>
                        </c15:formulaRef>
                      </c:ext>
                    </c:extLst>
                    <c:strCache>
                      <c:ptCount val="1"/>
                      <c:pt idx="0">
                        <c:v>UB</c:v>
                      </c:pt>
                    </c:strCache>
                  </c:strRef>
                </c:tx>
                <c:spPr>
                  <a:solidFill>
                    <a:schemeClr val="accent3"/>
                  </a:solidFill>
                  <a:ln>
                    <a:noFill/>
                  </a:ln>
                  <a:effectLst/>
                </c:spPr>
                <c:val>
                  <c:numRef>
                    <c:extLst>
                      <c:ext uri="{02D57815-91ED-43cb-92C2-25804820EDAC}">
                        <c15:formulaRef>
                          <c15:sqref>'HIV prevalence'!$E$184:$E$212</c15:sqref>
                        </c15:formulaRef>
                      </c:ext>
                    </c:extLst>
                    <c:numCache>
                      <c:formatCode>General</c:formatCode>
                      <c:ptCount val="29"/>
                      <c:pt idx="0">
                        <c:v>6.7</c:v>
                      </c:pt>
                      <c:pt idx="1">
                        <c:v>8.4</c:v>
                      </c:pt>
                      <c:pt idx="2">
                        <c:v>10</c:v>
                      </c:pt>
                      <c:pt idx="3">
                        <c:v>11.4</c:v>
                      </c:pt>
                      <c:pt idx="4">
                        <c:v>12.4</c:v>
                      </c:pt>
                      <c:pt idx="5">
                        <c:v>13</c:v>
                      </c:pt>
                      <c:pt idx="6">
                        <c:v>13.2</c:v>
                      </c:pt>
                      <c:pt idx="7">
                        <c:v>13.1</c:v>
                      </c:pt>
                      <c:pt idx="8">
                        <c:v>12.8</c:v>
                      </c:pt>
                      <c:pt idx="9">
                        <c:v>12.3</c:v>
                      </c:pt>
                      <c:pt idx="10">
                        <c:v>11.7</c:v>
                      </c:pt>
                      <c:pt idx="11">
                        <c:v>11.1</c:v>
                      </c:pt>
                      <c:pt idx="12">
                        <c:v>10.5</c:v>
                      </c:pt>
                      <c:pt idx="13">
                        <c:v>9.8000000000000007</c:v>
                      </c:pt>
                      <c:pt idx="14">
                        <c:v>9.1999999999999993</c:v>
                      </c:pt>
                      <c:pt idx="15">
                        <c:v>8.6999999999999993</c:v>
                      </c:pt>
                      <c:pt idx="16">
                        <c:v>8.1999999999999993</c:v>
                      </c:pt>
                      <c:pt idx="17">
                        <c:v>7.9</c:v>
                      </c:pt>
                      <c:pt idx="18">
                        <c:v>7.6</c:v>
                      </c:pt>
                      <c:pt idx="19">
                        <c:v>7.3</c:v>
                      </c:pt>
                      <c:pt idx="20">
                        <c:v>7.1</c:v>
                      </c:pt>
                      <c:pt idx="21">
                        <c:v>6.9</c:v>
                      </c:pt>
                      <c:pt idx="22">
                        <c:v>6.7</c:v>
                      </c:pt>
                      <c:pt idx="23">
                        <c:v>6.6</c:v>
                      </c:pt>
                      <c:pt idx="24">
                        <c:v>6.4</c:v>
                      </c:pt>
                      <c:pt idx="25">
                        <c:v>6.2</c:v>
                      </c:pt>
                      <c:pt idx="26">
                        <c:v>6</c:v>
                      </c:pt>
                      <c:pt idx="27">
                        <c:v>5.8</c:v>
                      </c:pt>
                      <c:pt idx="28">
                        <c:v>5.7</c:v>
                      </c:pt>
                    </c:numCache>
                  </c:numRef>
                </c:val>
                <c:extLst>
                  <c:ext xmlns:c16="http://schemas.microsoft.com/office/drawing/2014/chart" uri="{C3380CC4-5D6E-409C-BE32-E72D297353CC}">
                    <c16:uniqueId val="{00000003-E250-4FE5-854C-9E928CE30293}"/>
                  </c:ext>
                </c:extLst>
              </c15:ser>
            </c15:filteredAreaSeries>
          </c:ext>
        </c:extLst>
      </c:areaChart>
      <c:lineChart>
        <c:grouping val="standard"/>
        <c:varyColors val="0"/>
        <c:ser>
          <c:idx val="1"/>
          <c:order val="0"/>
          <c:tx>
            <c:strRef>
              <c:f>'HIV prevalence'!$C$183</c:f>
              <c:strCache>
                <c:ptCount val="1"/>
                <c:pt idx="0">
                  <c:v>Prevalence</c:v>
                </c:pt>
              </c:strCache>
            </c:strRef>
          </c:tx>
          <c:spPr>
            <a:ln w="28575" cap="rnd">
              <a:solidFill>
                <a:schemeClr val="accent4"/>
              </a:solidFill>
              <a:round/>
            </a:ln>
            <a:effectLst/>
          </c:spPr>
          <c:marker>
            <c:symbol val="none"/>
          </c:marker>
          <c:cat>
            <c:numRef>
              <c:f>'HIV prevalence'!$B$184:$B$212</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'HIV prevalence'!$C$184:$C$212</c:f>
              <c:numCache>
                <c:formatCode>General</c:formatCode>
                <c:ptCount val="29"/>
                <c:pt idx="0">
                  <c:v>5.6</c:v>
                </c:pt>
                <c:pt idx="1">
                  <c:v>7</c:v>
                </c:pt>
                <c:pt idx="2">
                  <c:v>8.4</c:v>
                </c:pt>
                <c:pt idx="3">
                  <c:v>9.6</c:v>
                </c:pt>
                <c:pt idx="4">
                  <c:v>10.4</c:v>
                </c:pt>
                <c:pt idx="5">
                  <c:v>10.9</c:v>
                </c:pt>
                <c:pt idx="6">
                  <c:v>11</c:v>
                </c:pt>
                <c:pt idx="7">
                  <c:v>11</c:v>
                </c:pt>
                <c:pt idx="8">
                  <c:v>10.7</c:v>
                </c:pt>
                <c:pt idx="9">
                  <c:v>10.3</c:v>
                </c:pt>
                <c:pt idx="10">
                  <c:v>9.8000000000000007</c:v>
                </c:pt>
                <c:pt idx="11">
                  <c:v>9.3000000000000007</c:v>
                </c:pt>
                <c:pt idx="12">
                  <c:v>8.8000000000000007</c:v>
                </c:pt>
                <c:pt idx="13">
                  <c:v>8.1999999999999993</c:v>
                </c:pt>
                <c:pt idx="14">
                  <c:v>7.7</c:v>
                </c:pt>
                <c:pt idx="15">
                  <c:v>7.3</c:v>
                </c:pt>
                <c:pt idx="16">
                  <c:v>6.9</c:v>
                </c:pt>
                <c:pt idx="17">
                  <c:v>6.6</c:v>
                </c:pt>
                <c:pt idx="18">
                  <c:v>6.4</c:v>
                </c:pt>
                <c:pt idx="19">
                  <c:v>6.2</c:v>
                </c:pt>
                <c:pt idx="20">
                  <c:v>6</c:v>
                </c:pt>
                <c:pt idx="21">
                  <c:v>5.8</c:v>
                </c:pt>
                <c:pt idx="22">
                  <c:v>5.6</c:v>
                </c:pt>
                <c:pt idx="23">
                  <c:v>5.5</c:v>
                </c:pt>
                <c:pt idx="24">
                  <c:v>5.4</c:v>
                </c:pt>
                <c:pt idx="25">
                  <c:v>5.2</c:v>
                </c:pt>
                <c:pt idx="26">
                  <c:v>5.0999999999999996</c:v>
                </c:pt>
                <c:pt idx="27">
                  <c:v>4.9000000000000004</c:v>
                </c:pt>
                <c:pt idx="28">
                  <c:v>4.7</c:v>
                </c:pt>
              </c:numCache>
            </c:numRef>
          </c:val>
          <c:smooth val="0"/>
          <c:extLst>
            <c:ext xmlns:c16="http://schemas.microsoft.com/office/drawing/2014/chart" uri="{C3380CC4-5D6E-409C-BE32-E72D297353CC}">
              <c16:uniqueId val="{00000001-E250-4FE5-854C-9E928CE30293}"/>
            </c:ext>
          </c:extLst>
        </c:ser>
        <c:dLbls>
          <c:showLegendKey val="0"/>
          <c:showVal val="0"/>
          <c:showCatName val="0"/>
          <c:showSerName val="0"/>
          <c:showPercent val="0"/>
          <c:showBubbleSize val="0"/>
        </c:dLbls>
        <c:marker val="1"/>
        <c:smooth val="0"/>
        <c:axId val="736922040"/>
        <c:axId val="736922368"/>
      </c:lineChart>
      <c:catAx>
        <c:axId val="736922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22368"/>
        <c:crosses val="autoZero"/>
        <c:auto val="1"/>
        <c:lblAlgn val="ctr"/>
        <c:lblOffset val="100"/>
        <c:noMultiLvlLbl val="0"/>
      </c:catAx>
      <c:valAx>
        <c:axId val="73692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22040"/>
        <c:crosses val="autoZero"/>
        <c:crossBetween val="between"/>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Nyanza 2009 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Population!$N$90</c:f>
              <c:strCache>
                <c:ptCount val="1"/>
                <c:pt idx="0">
                  <c:v>Female</c:v>
                </c:pt>
              </c:strCache>
            </c:strRef>
          </c:tx>
          <c:spPr>
            <a:solidFill>
              <a:srgbClr val="79ADDD"/>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Population!$N$91:$N$107</c:f>
              <c:numCache>
                <c:formatCode>0.0</c:formatCode>
                <c:ptCount val="17"/>
                <c:pt idx="0">
                  <c:v>8.6745741230794735</c:v>
                </c:pt>
                <c:pt idx="1">
                  <c:v>7.4885107807487845</c:v>
                </c:pt>
                <c:pt idx="2">
                  <c:v>6.7220361323612448</c:v>
                </c:pt>
                <c:pt idx="3">
                  <c:v>5.7630838749292401</c:v>
                </c:pt>
                <c:pt idx="4">
                  <c:v>5.4144157204011014</c:v>
                </c:pt>
                <c:pt idx="5">
                  <c:v>3.9585971035390264</c:v>
                </c:pt>
                <c:pt idx="6">
                  <c:v>2.829012967985991</c:v>
                </c:pt>
                <c:pt idx="7">
                  <c:v>2.2674178364421702</c:v>
                </c:pt>
                <c:pt idx="8">
                  <c:v>1.7571757897856417</c:v>
                </c:pt>
                <c:pt idx="9">
                  <c:v>1.6863654895510714</c:v>
                </c:pt>
                <c:pt idx="10">
                  <c:v>1.3683254539879115</c:v>
                </c:pt>
                <c:pt idx="11">
                  <c:v>1.0142923260117982</c:v>
                </c:pt>
                <c:pt idx="12">
                  <c:v>0.85936953110315795</c:v>
                </c:pt>
                <c:pt idx="13">
                  <c:v>0.60249386748625822</c:v>
                </c:pt>
                <c:pt idx="14">
                  <c:v>0.54208279660632364</c:v>
                </c:pt>
                <c:pt idx="15">
                  <c:v>0.3902099523564635</c:v>
                </c:pt>
                <c:pt idx="16">
                  <c:v>0.54452643177269555</c:v>
                </c:pt>
              </c:numCache>
            </c:numRef>
          </c:val>
          <c:extLst>
            <c:ext xmlns:c16="http://schemas.microsoft.com/office/drawing/2014/chart" uri="{C3380CC4-5D6E-409C-BE32-E72D297353CC}">
              <c16:uniqueId val="{00000000-40C2-4914-AEB2-6DF708D92F3C}"/>
            </c:ext>
          </c:extLst>
        </c:ser>
        <c:ser>
          <c:idx val="1"/>
          <c:order val="1"/>
          <c:tx>
            <c:strRef>
              <c:f>Population!$O$90</c:f>
              <c:strCache>
                <c:ptCount val="1"/>
                <c:pt idx="0">
                  <c:v>Male </c:v>
                </c:pt>
              </c:strCache>
            </c:strRef>
          </c:tx>
          <c:spPr>
            <a:solidFill>
              <a:schemeClr val="accent4">
                <a:lumMod val="60000"/>
                <a:lumOff val="40000"/>
              </a:schemeClr>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Population!$O$91:$O$107</c:f>
              <c:numCache>
                <c:formatCode>0.0</c:formatCode>
                <c:ptCount val="17"/>
                <c:pt idx="0">
                  <c:v>-8.7404420333910799</c:v>
                </c:pt>
                <c:pt idx="1">
                  <c:v>-7.4845421702530226</c:v>
                </c:pt>
                <c:pt idx="2">
                  <c:v>-6.8137918768790033</c:v>
                </c:pt>
                <c:pt idx="3">
                  <c:v>-5.8083003121054935</c:v>
                </c:pt>
                <c:pt idx="4">
                  <c:v>-4.187857852456248</c:v>
                </c:pt>
                <c:pt idx="5">
                  <c:v>-3.3638199786834173</c:v>
                </c:pt>
                <c:pt idx="6">
                  <c:v>-2.6249418717988147</c:v>
                </c:pt>
                <c:pt idx="7">
                  <c:v>-1.9610264076119419</c:v>
                </c:pt>
                <c:pt idx="8">
                  <c:v>-1.4309596816733428</c:v>
                </c:pt>
                <c:pt idx="9">
                  <c:v>-1.3796433431795294</c:v>
                </c:pt>
                <c:pt idx="10">
                  <c:v>-1.120507776363654</c:v>
                </c:pt>
                <c:pt idx="11">
                  <c:v>-0.88455918383320375</c:v>
                </c:pt>
                <c:pt idx="12">
                  <c:v>-0.7375184903258688</c:v>
                </c:pt>
                <c:pt idx="13">
                  <c:v>-0.46210427119867287</c:v>
                </c:pt>
                <c:pt idx="14">
                  <c:v>-0.42282237656932359</c:v>
                </c:pt>
                <c:pt idx="15">
                  <c:v>-0.28651162995793827</c:v>
                </c:pt>
                <c:pt idx="16">
                  <c:v>-0.36257666446004577</c:v>
                </c:pt>
              </c:numCache>
            </c:numRef>
          </c:val>
          <c:extLst>
            <c:ext xmlns:c16="http://schemas.microsoft.com/office/drawing/2014/chart" uri="{C3380CC4-5D6E-409C-BE32-E72D297353CC}">
              <c16:uniqueId val="{00000001-40C2-4914-AEB2-6DF708D92F3C}"/>
            </c:ext>
          </c:extLst>
        </c:ser>
        <c:dLbls>
          <c:showLegendKey val="0"/>
          <c:showVal val="0"/>
          <c:showCatName val="0"/>
          <c:showSerName val="0"/>
          <c:showPercent val="0"/>
          <c:showBubbleSize val="0"/>
        </c:dLbls>
        <c:gapWidth val="0"/>
        <c:overlap val="100"/>
        <c:axId val="726613896"/>
        <c:axId val="726620456"/>
      </c:barChart>
      <c:catAx>
        <c:axId val="726613896"/>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20456"/>
        <c:crosses val="autoZero"/>
        <c:auto val="1"/>
        <c:lblAlgn val="ctr"/>
        <c:lblOffset val="100"/>
        <c:noMultiLvlLbl val="0"/>
      </c:catAx>
      <c:valAx>
        <c:axId val="726620456"/>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13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a:t>
            </a:r>
            <a:r>
              <a:rPr lang="en-US"/>
              <a:t>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Population!$M$3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Population!$M$4:$M$20</c:f>
              <c:numCache>
                <c:formatCode>#,##0</c:formatCode>
                <c:ptCount val="17"/>
                <c:pt idx="0">
                  <c:v>34.401390696761865</c:v>
                </c:pt>
                <c:pt idx="1">
                  <c:v>39.817062267308479</c:v>
                </c:pt>
                <c:pt idx="2">
                  <c:v>43.115253888929068</c:v>
                </c:pt>
                <c:pt idx="3">
                  <c:v>37.917372556411664</c:v>
                </c:pt>
                <c:pt idx="4">
                  <c:v>38.695449492595117</c:v>
                </c:pt>
                <c:pt idx="5">
                  <c:v>52.099033727216003</c:v>
                </c:pt>
                <c:pt idx="6">
                  <c:v>44.004588230940954</c:v>
                </c:pt>
                <c:pt idx="7">
                  <c:v>58.823955042087746</c:v>
                </c:pt>
                <c:pt idx="8">
                  <c:v>40.712100351843354</c:v>
                </c:pt>
                <c:pt idx="9">
                  <c:v>28.418922499246278</c:v>
                </c:pt>
                <c:pt idx="10">
                  <c:v>28.975222516237668</c:v>
                </c:pt>
                <c:pt idx="11">
                  <c:v>27.163528133146748</c:v>
                </c:pt>
                <c:pt idx="12">
                  <c:v>39.723331167022565</c:v>
                </c:pt>
                <c:pt idx="13">
                  <c:v>13.796969151001942</c:v>
                </c:pt>
                <c:pt idx="14">
                  <c:v>25.00715695580768</c:v>
                </c:pt>
                <c:pt idx="15">
                  <c:v>-24.116400428411914</c:v>
                </c:pt>
              </c:numCache>
            </c:numRef>
          </c:val>
          <c:extLst>
            <c:ext xmlns:c16="http://schemas.microsoft.com/office/drawing/2014/chart" uri="{C3380CC4-5D6E-409C-BE32-E72D297353CC}">
              <c16:uniqueId val="{00000000-13A0-4004-AB2B-BC186428EA35}"/>
            </c:ext>
          </c:extLst>
        </c:ser>
        <c:ser>
          <c:idx val="1"/>
          <c:order val="1"/>
          <c:tx>
            <c:strRef>
              <c:f>Population!$N$3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Population!$N$4:$N$20</c:f>
              <c:numCache>
                <c:formatCode>#,##0</c:formatCode>
                <c:ptCount val="17"/>
                <c:pt idx="0">
                  <c:v>19.920302048538733</c:v>
                </c:pt>
                <c:pt idx="1">
                  <c:v>14.735445153431373</c:v>
                </c:pt>
                <c:pt idx="2">
                  <c:v>35.3005630154437</c:v>
                </c:pt>
                <c:pt idx="3">
                  <c:v>42.784961425622079</c:v>
                </c:pt>
                <c:pt idx="4">
                  <c:v>49.341047713900949</c:v>
                </c:pt>
                <c:pt idx="5">
                  <c:v>39.928943416722582</c:v>
                </c:pt>
                <c:pt idx="6">
                  <c:v>44.010086112238831</c:v>
                </c:pt>
                <c:pt idx="7">
                  <c:v>50.832628267707989</c:v>
                </c:pt>
                <c:pt idx="8">
                  <c:v>40.378981012899054</c:v>
                </c:pt>
                <c:pt idx="9">
                  <c:v>49.164256723829439</c:v>
                </c:pt>
                <c:pt idx="10">
                  <c:v>46.091663628733478</c:v>
                </c:pt>
                <c:pt idx="11">
                  <c:v>24.899311238597452</c:v>
                </c:pt>
                <c:pt idx="12">
                  <c:v>29.247953433978314</c:v>
                </c:pt>
                <c:pt idx="13">
                  <c:v>23.99419474008268</c:v>
                </c:pt>
                <c:pt idx="14">
                  <c:v>42.95132946026083</c:v>
                </c:pt>
                <c:pt idx="15">
                  <c:v>18.867867867867869</c:v>
                </c:pt>
                <c:pt idx="16">
                  <c:v>15.922637148765356</c:v>
                </c:pt>
              </c:numCache>
            </c:numRef>
          </c:val>
          <c:extLst>
            <c:ext xmlns:c16="http://schemas.microsoft.com/office/drawing/2014/chart" uri="{C3380CC4-5D6E-409C-BE32-E72D297353CC}">
              <c16:uniqueId val="{00000001-13A0-4004-AB2B-BC186428EA35}"/>
            </c:ext>
          </c:extLst>
        </c:ser>
        <c:ser>
          <c:idx val="2"/>
          <c:order val="2"/>
          <c:tx>
            <c:strRef>
              <c:f>Population!$O$3</c:f>
              <c:strCache>
                <c:ptCount val="1"/>
                <c:pt idx="0">
                  <c:v>1999-2009</c:v>
                </c:pt>
              </c:strCache>
            </c:strRef>
          </c:tx>
          <c:spPr>
            <a:solidFill>
              <a:schemeClr val="accent5">
                <a:lumMod val="60000"/>
                <a:lumOff val="40000"/>
              </a:schemeClr>
            </a:solidFill>
            <a:ln>
              <a:solidFill>
                <a:schemeClr val="accent5">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Population!$O$4:$O$20</c:f>
              <c:numCache>
                <c:formatCode>#,##0</c:formatCode>
                <c:ptCount val="17"/>
                <c:pt idx="0">
                  <c:v>30.912861441157169</c:v>
                </c:pt>
                <c:pt idx="1">
                  <c:v>41.592388207419852</c:v>
                </c:pt>
                <c:pt idx="2">
                  <c:v>26.060845806838394</c:v>
                </c:pt>
                <c:pt idx="3">
                  <c:v>26.258811023172633</c:v>
                </c:pt>
                <c:pt idx="4">
                  <c:v>32.033625159857252</c:v>
                </c:pt>
                <c:pt idx="5">
                  <c:v>39.656902993764781</c:v>
                </c:pt>
                <c:pt idx="6">
                  <c:v>49.523844642270895</c:v>
                </c:pt>
                <c:pt idx="7">
                  <c:v>44.457708809472102</c:v>
                </c:pt>
                <c:pt idx="8">
                  <c:v>43.967303127577431</c:v>
                </c:pt>
                <c:pt idx="9">
                  <c:v>51.493891606115305</c:v>
                </c:pt>
                <c:pt idx="10">
                  <c:v>38.796247667849549</c:v>
                </c:pt>
                <c:pt idx="11">
                  <c:v>60.769440630436819</c:v>
                </c:pt>
                <c:pt idx="12">
                  <c:v>51.76209302206022</c:v>
                </c:pt>
                <c:pt idx="13">
                  <c:v>29.922890848342544</c:v>
                </c:pt>
                <c:pt idx="14">
                  <c:v>35.159905902985642</c:v>
                </c:pt>
                <c:pt idx="15">
                  <c:v>26.105904049718315</c:v>
                </c:pt>
                <c:pt idx="16">
                  <c:v>66.972717733473246</c:v>
                </c:pt>
              </c:numCache>
            </c:numRef>
          </c:val>
          <c:extLst>
            <c:ext xmlns:c16="http://schemas.microsoft.com/office/drawing/2014/chart" uri="{C3380CC4-5D6E-409C-BE32-E72D297353CC}">
              <c16:uniqueId val="{00000002-13A0-4004-AB2B-BC186428EA35}"/>
            </c:ext>
          </c:extLst>
        </c:ser>
        <c:ser>
          <c:idx val="3"/>
          <c:order val="3"/>
          <c:tx>
            <c:strRef>
              <c:f>Population!$T$3</c:f>
              <c:strCache>
                <c:ptCount val="1"/>
                <c:pt idx="0">
                  <c:v>1979-1989</c:v>
                </c:pt>
              </c:strCache>
            </c:strRef>
          </c:tx>
          <c:spPr>
            <a:solidFill>
              <a:schemeClr val="accent4"/>
            </a:solidFill>
            <a:ln>
              <a:solidFill>
                <a:schemeClr val="accent4"/>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Population!$T$4:$T$20</c:f>
              <c:numCache>
                <c:formatCode>General</c:formatCode>
                <c:ptCount val="17"/>
              </c:numCache>
            </c:numRef>
          </c:val>
          <c:extLst>
            <c:ext xmlns:c16="http://schemas.microsoft.com/office/drawing/2014/chart" uri="{C3380CC4-5D6E-409C-BE32-E72D297353CC}">
              <c16:uniqueId val="{00000003-13A0-4004-AB2B-BC186428EA35}"/>
            </c:ext>
          </c:extLst>
        </c:ser>
        <c:ser>
          <c:idx val="4"/>
          <c:order val="4"/>
          <c:tx>
            <c:strRef>
              <c:f>Population!$U$3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Population!$U$4:$U$20</c:f>
              <c:numCache>
                <c:formatCode>0.0</c:formatCode>
                <c:ptCount val="17"/>
                <c:pt idx="0">
                  <c:v>8.0219499434217099</c:v>
                </c:pt>
                <c:pt idx="1">
                  <c:v>5.8031870910223127</c:v>
                </c:pt>
                <c:pt idx="2">
                  <c:v>33.283525467819729</c:v>
                </c:pt>
                <c:pt idx="3">
                  <c:v>45.307825207534449</c:v>
                </c:pt>
                <c:pt idx="4">
                  <c:v>49.294094757945132</c:v>
                </c:pt>
                <c:pt idx="5">
                  <c:v>28.322497010380758</c:v>
                </c:pt>
                <c:pt idx="6">
                  <c:v>25.944366409150195</c:v>
                </c:pt>
                <c:pt idx="7">
                  <c:v>43.47653458270468</c:v>
                </c:pt>
                <c:pt idx="8">
                  <c:v>36.077640049966369</c:v>
                </c:pt>
                <c:pt idx="9">
                  <c:v>46.972024274167154</c:v>
                </c:pt>
                <c:pt idx="10">
                  <c:v>31.746415987519839</c:v>
                </c:pt>
                <c:pt idx="11">
                  <c:v>2.1230048684291614</c:v>
                </c:pt>
                <c:pt idx="12">
                  <c:v>18.281130634071811</c:v>
                </c:pt>
                <c:pt idx="13">
                  <c:v>27.127553063676412</c:v>
                </c:pt>
                <c:pt idx="14">
                  <c:v>23.376876584129462</c:v>
                </c:pt>
                <c:pt idx="15">
                  <c:v>3.6479250334672022</c:v>
                </c:pt>
                <c:pt idx="16">
                  <c:v>14.721899830372287</c:v>
                </c:pt>
              </c:numCache>
            </c:numRef>
          </c:val>
          <c:extLst>
            <c:ext xmlns:c16="http://schemas.microsoft.com/office/drawing/2014/chart" uri="{C3380CC4-5D6E-409C-BE32-E72D297353CC}">
              <c16:uniqueId val="{00000004-13A0-4004-AB2B-BC186428EA35}"/>
            </c:ext>
          </c:extLst>
        </c:ser>
        <c:ser>
          <c:idx val="5"/>
          <c:order val="5"/>
          <c:tx>
            <c:strRef>
              <c:f>Population!$V$3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Population!$V$4:$V$20</c:f>
              <c:numCache>
                <c:formatCode>0.0</c:formatCode>
                <c:ptCount val="17"/>
                <c:pt idx="0">
                  <c:v>33.959506645640907</c:v>
                </c:pt>
                <c:pt idx="1">
                  <c:v>31.015318708249843</c:v>
                </c:pt>
                <c:pt idx="2">
                  <c:v>7.7108734672064969</c:v>
                </c:pt>
                <c:pt idx="3">
                  <c:v>14.595960328277702</c:v>
                </c:pt>
                <c:pt idx="4">
                  <c:v>29.147095319308065</c:v>
                </c:pt>
                <c:pt idx="5">
                  <c:v>43.375230040330479</c:v>
                </c:pt>
                <c:pt idx="6">
                  <c:v>42.266213915138962</c:v>
                </c:pt>
                <c:pt idx="7">
                  <c:v>18.145893292007969</c:v>
                </c:pt>
                <c:pt idx="8">
                  <c:v>9.9918088351598691</c:v>
                </c:pt>
                <c:pt idx="9">
                  <c:v>28.651464012198673</c:v>
                </c:pt>
                <c:pt idx="10">
                  <c:v>24.506961741047732</c:v>
                </c:pt>
                <c:pt idx="11">
                  <c:v>45.26144283860846</c:v>
                </c:pt>
                <c:pt idx="12">
                  <c:v>29.629270813149905</c:v>
                </c:pt>
                <c:pt idx="13">
                  <c:v>-0.9608190588698563</c:v>
                </c:pt>
                <c:pt idx="14">
                  <c:v>21.223135271807838</c:v>
                </c:pt>
                <c:pt idx="15">
                  <c:v>25.879883758475948</c:v>
                </c:pt>
                <c:pt idx="16">
                  <c:v>53.571984435797674</c:v>
                </c:pt>
              </c:numCache>
            </c:numRef>
          </c:val>
          <c:extLst>
            <c:ext xmlns:c16="http://schemas.microsoft.com/office/drawing/2014/chart" uri="{C3380CC4-5D6E-409C-BE32-E72D297353CC}">
              <c16:uniqueId val="{00000005-13A0-4004-AB2B-BC186428EA35}"/>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Fem</a:t>
            </a:r>
            <a:r>
              <a:rPr lang="en-US"/>
              <a:t>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Population!$P$3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Population!$P$4:$P$20</c:f>
              <c:numCache>
                <c:formatCode>0.0</c:formatCode>
                <c:ptCount val="17"/>
                <c:pt idx="0">
                  <c:v>32.886374908979619</c:v>
                </c:pt>
                <c:pt idx="1">
                  <c:v>38.605614465245601</c:v>
                </c:pt>
                <c:pt idx="2">
                  <c:v>45.105626958926159</c:v>
                </c:pt>
                <c:pt idx="3">
                  <c:v>35.257659492498775</c:v>
                </c:pt>
                <c:pt idx="4">
                  <c:v>47.716555175414683</c:v>
                </c:pt>
                <c:pt idx="5">
                  <c:v>56.539451392211895</c:v>
                </c:pt>
                <c:pt idx="6">
                  <c:v>39.487170788798394</c:v>
                </c:pt>
                <c:pt idx="7">
                  <c:v>40.746295721446856</c:v>
                </c:pt>
                <c:pt idx="8">
                  <c:v>33.080503613418969</c:v>
                </c:pt>
                <c:pt idx="9">
                  <c:v>32.185254432005046</c:v>
                </c:pt>
                <c:pt idx="10">
                  <c:v>25.962978086293724</c:v>
                </c:pt>
                <c:pt idx="11">
                  <c:v>34.653693490121455</c:v>
                </c:pt>
                <c:pt idx="12">
                  <c:v>53.309045088478598</c:v>
                </c:pt>
                <c:pt idx="13">
                  <c:v>40.565482270100098</c:v>
                </c:pt>
                <c:pt idx="14">
                  <c:v>45.848190728985109</c:v>
                </c:pt>
                <c:pt idx="15">
                  <c:v>-30.163862489462684</c:v>
                </c:pt>
              </c:numCache>
            </c:numRef>
          </c:val>
          <c:extLst>
            <c:ext xmlns:c16="http://schemas.microsoft.com/office/drawing/2014/chart" uri="{C3380CC4-5D6E-409C-BE32-E72D297353CC}">
              <c16:uniqueId val="{00000006-9499-45DA-B994-E670C14D667C}"/>
            </c:ext>
          </c:extLst>
        </c:ser>
        <c:ser>
          <c:idx val="1"/>
          <c:order val="1"/>
          <c:tx>
            <c:strRef>
              <c:f>Population!$Q$3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Population!$Q$4:$Q$20</c:f>
              <c:numCache>
                <c:formatCode>0.0</c:formatCode>
                <c:ptCount val="17"/>
                <c:pt idx="0">
                  <c:v>18.749149604489983</c:v>
                </c:pt>
                <c:pt idx="1">
                  <c:v>13.752106889732287</c:v>
                </c:pt>
                <c:pt idx="2">
                  <c:v>34.867411392200573</c:v>
                </c:pt>
                <c:pt idx="3">
                  <c:v>43.34778031701191</c:v>
                </c:pt>
                <c:pt idx="4">
                  <c:v>48.458464089052043</c:v>
                </c:pt>
                <c:pt idx="5">
                  <c:v>37.449766135913805</c:v>
                </c:pt>
                <c:pt idx="6">
                  <c:v>46.830284321576784</c:v>
                </c:pt>
                <c:pt idx="7">
                  <c:v>58.04381340868494</c:v>
                </c:pt>
                <c:pt idx="8">
                  <c:v>41.934801945948323</c:v>
                </c:pt>
                <c:pt idx="9">
                  <c:v>42.801588248325693</c:v>
                </c:pt>
                <c:pt idx="10">
                  <c:v>41.372804082837042</c:v>
                </c:pt>
                <c:pt idx="11">
                  <c:v>30.454583091827441</c:v>
                </c:pt>
                <c:pt idx="12">
                  <c:v>27.881906599722456</c:v>
                </c:pt>
                <c:pt idx="13">
                  <c:v>37.086681484014363</c:v>
                </c:pt>
                <c:pt idx="14">
                  <c:v>48.581327018374779</c:v>
                </c:pt>
                <c:pt idx="15">
                  <c:v>34.962629803558436</c:v>
                </c:pt>
                <c:pt idx="16">
                  <c:v>28.668013181673224</c:v>
                </c:pt>
              </c:numCache>
            </c:numRef>
          </c:val>
          <c:extLst>
            <c:ext xmlns:c16="http://schemas.microsoft.com/office/drawing/2014/chart" uri="{C3380CC4-5D6E-409C-BE32-E72D297353CC}">
              <c16:uniqueId val="{00000007-9499-45DA-B994-E670C14D667C}"/>
            </c:ext>
          </c:extLst>
        </c:ser>
        <c:ser>
          <c:idx val="2"/>
          <c:order val="2"/>
          <c:tx>
            <c:strRef>
              <c:f>Population!$R$3</c:f>
              <c:strCache>
                <c:ptCount val="1"/>
                <c:pt idx="0">
                  <c:v>1999-2009</c:v>
                </c:pt>
              </c:strCache>
            </c:strRef>
          </c:tx>
          <c:spPr>
            <a:solidFill>
              <a:schemeClr val="accent5">
                <a:lumMod val="40000"/>
                <a:lumOff val="60000"/>
              </a:schemeClr>
            </a:solidFill>
            <a:ln>
              <a:solidFill>
                <a:schemeClr val="accent5">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Population!$R$4:$R$20</c:f>
              <c:numCache>
                <c:formatCode>0.0</c:formatCode>
                <c:ptCount val="17"/>
                <c:pt idx="0">
                  <c:v>31.025927276650648</c:v>
                </c:pt>
                <c:pt idx="1">
                  <c:v>40.890094346352413</c:v>
                </c:pt>
                <c:pt idx="2">
                  <c:v>23.25185723091051</c:v>
                </c:pt>
                <c:pt idx="3">
                  <c:v>18.864578891165088</c:v>
                </c:pt>
                <c:pt idx="4">
                  <c:v>34.340120806520126</c:v>
                </c:pt>
                <c:pt idx="5">
                  <c:v>43.578792265802505</c:v>
                </c:pt>
                <c:pt idx="6">
                  <c:v>49.364196727517957</c:v>
                </c:pt>
                <c:pt idx="7">
                  <c:v>38.759569961409277</c:v>
                </c:pt>
                <c:pt idx="8">
                  <c:v>41.70030696978079</c:v>
                </c:pt>
                <c:pt idx="9">
                  <c:v>52.145293290722627</c:v>
                </c:pt>
                <c:pt idx="10">
                  <c:v>40.478059306164326</c:v>
                </c:pt>
                <c:pt idx="11">
                  <c:v>49.153496244578442</c:v>
                </c:pt>
                <c:pt idx="12">
                  <c:v>39.059218033206811</c:v>
                </c:pt>
                <c:pt idx="13">
                  <c:v>29.46297173929311</c:v>
                </c:pt>
                <c:pt idx="14">
                  <c:v>32.079926802632748</c:v>
                </c:pt>
                <c:pt idx="15">
                  <c:v>45.39941190884587</c:v>
                </c:pt>
                <c:pt idx="16">
                  <c:v>85.541730696145009</c:v>
                </c:pt>
              </c:numCache>
            </c:numRef>
          </c:val>
          <c:extLst>
            <c:ext xmlns:c16="http://schemas.microsoft.com/office/drawing/2014/chart" uri="{C3380CC4-5D6E-409C-BE32-E72D297353CC}">
              <c16:uniqueId val="{00000008-9499-45DA-B994-E670C14D667C}"/>
            </c:ext>
          </c:extLst>
        </c:ser>
        <c:ser>
          <c:idx val="5"/>
          <c:order val="3"/>
          <c:tx>
            <c:strRef>
              <c:f>Population!$W$3</c:f>
              <c:strCache>
                <c:ptCount val="1"/>
                <c:pt idx="0">
                  <c:v>1979-1989</c:v>
                </c:pt>
              </c:strCache>
            </c:strRef>
          </c:tx>
          <c:spPr>
            <a:solidFill>
              <a:schemeClr val="accent6"/>
            </a:solidFill>
            <a:ln>
              <a:solidFill>
                <a:schemeClr val="accent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val>
            <c:numRef>
              <c:f>Population!$W$4:$W$20</c:f>
              <c:numCache>
                <c:formatCode>General</c:formatCode>
                <c:ptCount val="17"/>
              </c:numCache>
            </c:numRef>
          </c:val>
          <c:extLst>
            <c:ext xmlns:c16="http://schemas.microsoft.com/office/drawing/2014/chart" uri="{C3380CC4-5D6E-409C-BE32-E72D297353CC}">
              <c16:uniqueId val="{0000000B-9499-45DA-B994-E670C14D667C}"/>
            </c:ext>
          </c:extLst>
        </c:ser>
        <c:ser>
          <c:idx val="3"/>
          <c:order val="4"/>
          <c:tx>
            <c:strRef>
              <c:f>Population!$X$3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Population!$X$4:$X$20</c:f>
              <c:numCache>
                <c:formatCode>0.00</c:formatCode>
                <c:ptCount val="17"/>
                <c:pt idx="0">
                  <c:v>7.3783751671779747</c:v>
                </c:pt>
                <c:pt idx="1">
                  <c:v>6.0943036062512013</c:v>
                </c:pt>
                <c:pt idx="2">
                  <c:v>32.806989198582933</c:v>
                </c:pt>
                <c:pt idx="3">
                  <c:v>44.755759704213311</c:v>
                </c:pt>
                <c:pt idx="4">
                  <c:v>39.505260412138078</c:v>
                </c:pt>
                <c:pt idx="5">
                  <c:v>19.31750720091468</c:v>
                </c:pt>
                <c:pt idx="6">
                  <c:v>28.062275100359841</c:v>
                </c:pt>
                <c:pt idx="7">
                  <c:v>46.964301899496313</c:v>
                </c:pt>
                <c:pt idx="8">
                  <c:v>37.118287975765867</c:v>
                </c:pt>
                <c:pt idx="9">
                  <c:v>35.099876122638591</c:v>
                </c:pt>
                <c:pt idx="10">
                  <c:v>21.279136627006945</c:v>
                </c:pt>
                <c:pt idx="11">
                  <c:v>1.54699210046587</c:v>
                </c:pt>
                <c:pt idx="12">
                  <c:v>27.914260546148579</c:v>
                </c:pt>
                <c:pt idx="13">
                  <c:v>46.491228070175438</c:v>
                </c:pt>
                <c:pt idx="14">
                  <c:v>43.626923320458431</c:v>
                </c:pt>
                <c:pt idx="15">
                  <c:v>40.869017632241814</c:v>
                </c:pt>
                <c:pt idx="16">
                  <c:v>28.520328040481591</c:v>
                </c:pt>
              </c:numCache>
            </c:numRef>
          </c:val>
          <c:extLst>
            <c:ext xmlns:c16="http://schemas.microsoft.com/office/drawing/2014/chart" uri="{C3380CC4-5D6E-409C-BE32-E72D297353CC}">
              <c16:uniqueId val="{00000009-9499-45DA-B994-E670C14D667C}"/>
            </c:ext>
          </c:extLst>
        </c:ser>
        <c:ser>
          <c:idx val="4"/>
          <c:order val="5"/>
          <c:tx>
            <c:strRef>
              <c:f>Population!$Y$3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Population!$Y$4:$Y$20</c:f>
              <c:numCache>
                <c:formatCode>0.00</c:formatCode>
                <c:ptCount val="17"/>
                <c:pt idx="0">
                  <c:v>33.952596308254506</c:v>
                </c:pt>
                <c:pt idx="1">
                  <c:v>31.892448134928468</c:v>
                </c:pt>
                <c:pt idx="2">
                  <c:v>8.5592629408186589</c:v>
                </c:pt>
                <c:pt idx="3">
                  <c:v>11.583133824486762</c:v>
                </c:pt>
                <c:pt idx="4">
                  <c:v>31.193599943015631</c:v>
                </c:pt>
                <c:pt idx="5">
                  <c:v>32.344991953218099</c:v>
                </c:pt>
                <c:pt idx="6">
                  <c:v>25.043650568066461</c:v>
                </c:pt>
                <c:pt idx="7">
                  <c:v>8.7284805554087157</c:v>
                </c:pt>
                <c:pt idx="8">
                  <c:v>13.595115925503611</c:v>
                </c:pt>
                <c:pt idx="9">
                  <c:v>31.499469898850968</c:v>
                </c:pt>
                <c:pt idx="10">
                  <c:v>35.802334062727937</c:v>
                </c:pt>
                <c:pt idx="11">
                  <c:v>37.644301493504869</c:v>
                </c:pt>
                <c:pt idx="12">
                  <c:v>19.29757441273242</c:v>
                </c:pt>
                <c:pt idx="13">
                  <c:v>-1.8203592814371259</c:v>
                </c:pt>
                <c:pt idx="14">
                  <c:v>30.070978265661509</c:v>
                </c:pt>
                <c:pt idx="15">
                  <c:v>58.232752197884075</c:v>
                </c:pt>
                <c:pt idx="16">
                  <c:v>101.18797094562488</c:v>
                </c:pt>
              </c:numCache>
            </c:numRef>
          </c:val>
          <c:extLst>
            <c:ext xmlns:c16="http://schemas.microsoft.com/office/drawing/2014/chart" uri="{C3380CC4-5D6E-409C-BE32-E72D297353CC}">
              <c16:uniqueId val="{0000000A-9499-45DA-B994-E670C14D667C}"/>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Female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Population!$R$29</c:f>
              <c:strCache>
                <c:ptCount val="1"/>
                <c:pt idx="0">
                  <c:v>1989</c:v>
                </c:pt>
              </c:strCache>
            </c:strRef>
          </c:tx>
          <c:spPr>
            <a:ln w="28575" cap="rnd">
              <a:solidFill>
                <a:schemeClr val="accent2">
                  <a:lumMod val="60000"/>
                  <a:lumOff val="40000"/>
                </a:schemeClr>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Population!$R$30:$R$46</c:f>
              <c:numCache>
                <c:formatCode>0.00</c:formatCode>
                <c:ptCount val="17"/>
                <c:pt idx="0">
                  <c:v>17.378139977880451</c:v>
                </c:pt>
                <c:pt idx="1">
                  <c:v>16.882475546168415</c:v>
                </c:pt>
                <c:pt idx="2">
                  <c:v>17.080963996855246</c:v>
                </c:pt>
                <c:pt idx="3">
                  <c:v>16.1732372125872</c:v>
                </c:pt>
                <c:pt idx="4">
                  <c:v>15.889434937928041</c:v>
                </c:pt>
                <c:pt idx="5">
                  <c:v>16.103280234442401</c:v>
                </c:pt>
                <c:pt idx="6">
                  <c:v>16.703523489058476</c:v>
                </c:pt>
                <c:pt idx="7">
                  <c:v>16.86479947242227</c:v>
                </c:pt>
                <c:pt idx="8">
                  <c:v>16.857106774579677</c:v>
                </c:pt>
                <c:pt idx="9">
                  <c:v>17.608425214294236</c:v>
                </c:pt>
                <c:pt idx="10">
                  <c:v>18.792520894201161</c:v>
                </c:pt>
                <c:pt idx="11">
                  <c:v>21.802323976705033</c:v>
                </c:pt>
                <c:pt idx="12">
                  <c:v>18.255400503868351</c:v>
                </c:pt>
                <c:pt idx="13">
                  <c:v>19.490511198495469</c:v>
                </c:pt>
                <c:pt idx="14">
                  <c:v>17.314607727053456</c:v>
                </c:pt>
                <c:pt idx="15">
                  <c:v>15.755010252000796</c:v>
                </c:pt>
                <c:pt idx="16">
                  <c:v>12.184543425108961</c:v>
                </c:pt>
              </c:numCache>
            </c:numRef>
          </c:val>
          <c:smooth val="0"/>
          <c:extLst>
            <c:ext xmlns:c16="http://schemas.microsoft.com/office/drawing/2014/chart" uri="{C3380CC4-5D6E-409C-BE32-E72D297353CC}">
              <c16:uniqueId val="{00000000-5B5B-4B27-A989-A8F143AC2B24}"/>
            </c:ext>
          </c:extLst>
        </c:ser>
        <c:ser>
          <c:idx val="1"/>
          <c:order val="1"/>
          <c:tx>
            <c:strRef>
              <c:f>Population!$R$65</c:f>
              <c:strCache>
                <c:ptCount val="1"/>
                <c:pt idx="0">
                  <c:v>1999</c:v>
                </c:pt>
              </c:strCache>
            </c:strRef>
          </c:tx>
          <c:spPr>
            <a:ln w="28575" cap="rnd">
              <a:solidFill>
                <a:schemeClr val="accent1"/>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Population!$R$67:$R$83</c:f>
              <c:numCache>
                <c:formatCode>0.00</c:formatCode>
                <c:ptCount val="17"/>
                <c:pt idx="0">
                  <c:v>15.714103557521602</c:v>
                </c:pt>
                <c:pt idx="1">
                  <c:v>15.745945593399627</c:v>
                </c:pt>
                <c:pt idx="2">
                  <c:v>16.820011429113297</c:v>
                </c:pt>
                <c:pt idx="3">
                  <c:v>16.332092721680418</c:v>
                </c:pt>
                <c:pt idx="4">
                  <c:v>14.93117803972244</c:v>
                </c:pt>
                <c:pt idx="5">
                  <c:v>13.978948886908228</c:v>
                </c:pt>
                <c:pt idx="6">
                  <c:v>14.56846065567952</c:v>
                </c:pt>
                <c:pt idx="7">
                  <c:v>15.682508715037949</c:v>
                </c:pt>
                <c:pt idx="8">
                  <c:v>16.285066026549888</c:v>
                </c:pt>
                <c:pt idx="9">
                  <c:v>16.658750748829913</c:v>
                </c:pt>
                <c:pt idx="10">
                  <c:v>16.121493266542611</c:v>
                </c:pt>
                <c:pt idx="11">
                  <c:v>16.97112027927642</c:v>
                </c:pt>
                <c:pt idx="12">
                  <c:v>18.260019095079524</c:v>
                </c:pt>
                <c:pt idx="13">
                  <c:v>20.827617170936119</c:v>
                </c:pt>
                <c:pt idx="14">
                  <c:v>16.737256869631949</c:v>
                </c:pt>
                <c:pt idx="15">
                  <c:v>16.444498897329083</c:v>
                </c:pt>
                <c:pt idx="16">
                  <c:v>12.170558006576448</c:v>
                </c:pt>
              </c:numCache>
            </c:numRef>
          </c:val>
          <c:smooth val="0"/>
          <c:extLst>
            <c:ext xmlns:c16="http://schemas.microsoft.com/office/drawing/2014/chart" uri="{C3380CC4-5D6E-409C-BE32-E72D297353CC}">
              <c16:uniqueId val="{00000001-5B5B-4B27-A989-A8F143AC2B24}"/>
            </c:ext>
          </c:extLst>
        </c:ser>
        <c:ser>
          <c:idx val="2"/>
          <c:order val="2"/>
          <c:tx>
            <c:strRef>
              <c:f>Population!$Q$89</c:f>
              <c:strCache>
                <c:ptCount val="1"/>
                <c:pt idx="0">
                  <c:v>2009</c:v>
                </c:pt>
              </c:strCache>
            </c:strRef>
          </c:tx>
          <c:spPr>
            <a:ln w="28575" cap="rnd">
              <a:solidFill>
                <a:srgbClr val="B07AD8"/>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Population!$Q$91:$Q$107</c:f>
              <c:numCache>
                <c:formatCode>0.00</c:formatCode>
                <c:ptCount val="17"/>
                <c:pt idx="0">
                  <c:v>16.065102639894899</c:v>
                </c:pt>
                <c:pt idx="1">
                  <c:v>14.740364268672469</c:v>
                </c:pt>
                <c:pt idx="2">
                  <c:v>14.814933295323588</c:v>
                </c:pt>
                <c:pt idx="3">
                  <c:v>15.331616069290138</c:v>
                </c:pt>
                <c:pt idx="4">
                  <c:v>14.581459259237267</c:v>
                </c:pt>
                <c:pt idx="5">
                  <c:v>12.885216881664482</c:v>
                </c:pt>
                <c:pt idx="6">
                  <c:v>12.196319757047885</c:v>
                </c:pt>
                <c:pt idx="7">
                  <c:v>12.28841617451863</c:v>
                </c:pt>
                <c:pt idx="8">
                  <c:v>13.055045558475243</c:v>
                </c:pt>
                <c:pt idx="9">
                  <c:v>14.39819034337356</c:v>
                </c:pt>
                <c:pt idx="10">
                  <c:v>15.58489934290378</c:v>
                </c:pt>
                <c:pt idx="11">
                  <c:v>15.661570497635374</c:v>
                </c:pt>
                <c:pt idx="12">
                  <c:v>15.665095903624144</c:v>
                </c:pt>
                <c:pt idx="13">
                  <c:v>15.794848081999113</c:v>
                </c:pt>
                <c:pt idx="14">
                  <c:v>16.482681564245809</c:v>
                </c:pt>
                <c:pt idx="15">
                  <c:v>17.895934274278492</c:v>
                </c:pt>
                <c:pt idx="16">
                  <c:v>13.196868766030208</c:v>
                </c:pt>
              </c:numCache>
            </c:numRef>
          </c:val>
          <c:smooth val="0"/>
          <c:extLst>
            <c:ext xmlns:c16="http://schemas.microsoft.com/office/drawing/2014/chart" uri="{C3380CC4-5D6E-409C-BE32-E72D297353CC}">
              <c16:uniqueId val="{00000002-5B5B-4B27-A989-A8F143AC2B24}"/>
            </c:ext>
          </c:extLst>
        </c:ser>
        <c:dLbls>
          <c:showLegendKey val="0"/>
          <c:showVal val="0"/>
          <c:showCatName val="0"/>
          <c:showSerName val="0"/>
          <c:showPercent val="0"/>
          <c:showBubbleSize val="0"/>
        </c:dLbls>
        <c:smooth val="0"/>
        <c:axId val="712560936"/>
        <c:axId val="712563560"/>
        <c:extLst>
          <c:ext xmlns:c15="http://schemas.microsoft.com/office/drawing/2012/chart" uri="{02D57815-91ED-43cb-92C2-25804820EDAC}">
            <c15:filteredLineSeries>
              <c15:ser>
                <c:idx val="3"/>
                <c:order val="3"/>
                <c:tx>
                  <c:strRef>
                    <c:extLst>
                      <c:ext uri="{02D57815-91ED-43cb-92C2-25804820EDAC}">
                        <c15:formulaRef>
                          <c15:sqref>Population!$S$29</c15:sqref>
                        </c15:formulaRef>
                      </c:ext>
                    </c:extLst>
                    <c:strCache>
                      <c:ptCount val="1"/>
                      <c:pt idx="0">
                        <c:v>1989</c:v>
                      </c:pt>
                    </c:strCache>
                  </c:strRef>
                </c:tx>
                <c:spPr>
                  <a:ln w="28575" cap="rnd">
                    <a:solidFill>
                      <a:schemeClr val="accent2"/>
                    </a:solidFill>
                    <a:prstDash val="sysDash"/>
                    <a:round/>
                  </a:ln>
                  <a:effectLst/>
                </c:spPr>
                <c:marker>
                  <c:symbol val="none"/>
                </c:marker>
                <c:val>
                  <c:numRef>
                    <c:extLst>
                      <c:ext uri="{02D57815-91ED-43cb-92C2-25804820EDAC}">
                        <c15:formulaRef>
                          <c15:sqref>Population!$S$30:$S$46</c15:sqref>
                        </c15:formulaRef>
                      </c:ext>
                    </c:extLst>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5B5B-4B27-A989-A8F143AC2B2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Population!$S$65</c15:sqref>
                        </c15:formulaRef>
                      </c:ext>
                    </c:extLst>
                    <c:strCache>
                      <c:ptCount val="1"/>
                      <c:pt idx="0">
                        <c:v>1999</c:v>
                      </c:pt>
                    </c:strCache>
                  </c:strRef>
                </c:tx>
                <c:spPr>
                  <a:ln w="28575" cap="rnd">
                    <a:solidFill>
                      <a:schemeClr val="accent1"/>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Population!$S$67:$S$83</c15:sqref>
                        </c15:formulaRef>
                      </c:ext>
                    </c:extLst>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xmlns:c15="http://schemas.microsoft.com/office/drawing/2012/chart">
                  <c:ext xmlns:c16="http://schemas.microsoft.com/office/drawing/2014/chart" uri="{C3380CC4-5D6E-409C-BE32-E72D297353CC}">
                    <c16:uniqueId val="{00000004-5B5B-4B27-A989-A8F143AC2B2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Population!$R$89</c15:sqref>
                        </c15:formulaRef>
                      </c:ext>
                    </c:extLst>
                    <c:strCache>
                      <c:ptCount val="1"/>
                      <c:pt idx="0">
                        <c:v>2009</c:v>
                      </c:pt>
                    </c:strCache>
                  </c:strRef>
                </c:tx>
                <c:spPr>
                  <a:ln w="28575" cap="rnd">
                    <a:solidFill>
                      <a:srgbClr val="7030A0"/>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Population!$R$91:$R$107</c15:sqref>
                        </c15:formulaRef>
                      </c:ext>
                    </c:extLst>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xmlns:c15="http://schemas.microsoft.com/office/drawing/2012/chart">
                  <c:ext xmlns:c16="http://schemas.microsoft.com/office/drawing/2014/chart" uri="{C3380CC4-5D6E-409C-BE32-E72D297353CC}">
                    <c16:uniqueId val="{00000005-5B5B-4B27-A989-A8F143AC2B24}"/>
                  </c:ext>
                </c:extLst>
              </c15:ser>
            </c15:filteredLineSeries>
          </c:ext>
        </c:extLst>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Population!$S$29</c:f>
              <c:strCache>
                <c:ptCount val="1"/>
                <c:pt idx="0">
                  <c:v>1989</c:v>
                </c:pt>
              </c:strCache>
            </c:strRef>
          </c:tx>
          <c:spPr>
            <a:ln w="28575" cap="rnd">
              <a:solidFill>
                <a:schemeClr val="accent2"/>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Population!$S$30:$S$46</c:f>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3BAA-4F00-9B49-3A98640E69A0}"/>
            </c:ext>
          </c:extLst>
        </c:ser>
        <c:ser>
          <c:idx val="1"/>
          <c:order val="1"/>
          <c:tx>
            <c:strRef>
              <c:f>Population!$S$65</c:f>
              <c:strCache>
                <c:ptCount val="1"/>
                <c:pt idx="0">
                  <c:v>1999</c:v>
                </c:pt>
              </c:strCache>
            </c:strRef>
          </c:tx>
          <c:spPr>
            <a:ln w="28575" cap="rnd">
              <a:solidFill>
                <a:schemeClr val="accent4"/>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Population!$S$67:$S$83</c:f>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c:ext xmlns:c16="http://schemas.microsoft.com/office/drawing/2014/chart" uri="{C3380CC4-5D6E-409C-BE32-E72D297353CC}">
              <c16:uniqueId val="{00000004-3BAA-4F00-9B49-3A98640E69A0}"/>
            </c:ext>
          </c:extLst>
        </c:ser>
        <c:ser>
          <c:idx val="2"/>
          <c:order val="2"/>
          <c:tx>
            <c:strRef>
              <c:f>Population!$R$89</c:f>
              <c:strCache>
                <c:ptCount val="1"/>
                <c:pt idx="0">
                  <c:v>2009</c:v>
                </c:pt>
              </c:strCache>
            </c:strRef>
          </c:tx>
          <c:spPr>
            <a:ln w="28575" cap="rnd">
              <a:solidFill>
                <a:schemeClr val="accent6"/>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Population!$R$91:$R$107</c:f>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c:ext xmlns:c16="http://schemas.microsoft.com/office/drawing/2014/chart" uri="{C3380CC4-5D6E-409C-BE32-E72D297353CC}">
              <c16:uniqueId val="{00000005-3BAA-4F00-9B49-3A98640E69A0}"/>
            </c:ext>
          </c:extLst>
        </c:ser>
        <c:dLbls>
          <c:showLegendKey val="0"/>
          <c:showVal val="0"/>
          <c:showCatName val="0"/>
          <c:showSerName val="0"/>
          <c:showPercent val="0"/>
          <c:showBubbleSize val="0"/>
        </c:dLbls>
        <c:smooth val="0"/>
        <c:axId val="712560936"/>
        <c:axId val="712563560"/>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distribution</a:t>
            </a:r>
            <a:r>
              <a:rPr lang="en-US" baseline="0"/>
              <a:t> </a:t>
            </a:r>
            <a:r>
              <a:rPr lang="en-US"/>
              <a:t>in Kenya vs Nyanza (Census</a:t>
            </a:r>
            <a:r>
              <a:rPr lang="en-US" baseline="0"/>
              <a:t> vs UN)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3"/>
          <c:order val="0"/>
          <c:tx>
            <c:strRef>
              <c:f>Population!$E$197</c:f>
              <c:strCache>
                <c:ptCount val="1"/>
                <c:pt idx="0">
                  <c:v>0-9, UN Kenya</c:v>
                </c:pt>
              </c:strCache>
            </c:strRef>
          </c:tx>
          <c:spPr>
            <a:ln w="28575" cap="rnd">
              <a:noFill/>
              <a:round/>
            </a:ln>
            <a:effectLst/>
          </c:spPr>
          <c:marker>
            <c:symbol val="circle"/>
            <c:size val="5"/>
            <c:spPr>
              <a:noFill/>
              <a:ln w="9525">
                <a:solidFill>
                  <a:schemeClr val="accent5">
                    <a:lumMod val="60000"/>
                    <a:lumOff val="40000"/>
                  </a:schemeClr>
                </a:solidFill>
              </a:ln>
              <a:effectLst/>
            </c:spPr>
          </c:marker>
          <c:cat>
            <c:numRef>
              <c:f>Population!$B$222:$B$225</c:f>
              <c:numCache>
                <c:formatCode>General</c:formatCode>
                <c:ptCount val="4"/>
                <c:pt idx="0">
                  <c:v>1979</c:v>
                </c:pt>
                <c:pt idx="1">
                  <c:v>1989</c:v>
                </c:pt>
                <c:pt idx="2">
                  <c:v>1999</c:v>
                </c:pt>
                <c:pt idx="3">
                  <c:v>2009</c:v>
                </c:pt>
              </c:numCache>
            </c:numRef>
          </c:cat>
          <c:val>
            <c:numRef>
              <c:f>Population!$E$198:$E$201</c:f>
              <c:numCache>
                <c:formatCode>0.0</c:formatCode>
                <c:ptCount val="4"/>
                <c:pt idx="0">
                  <c:v>36.984089189857748</c:v>
                </c:pt>
                <c:pt idx="1">
                  <c:v>35.449201321802434</c:v>
                </c:pt>
                <c:pt idx="2">
                  <c:v>31.717990022511501</c:v>
                </c:pt>
                <c:pt idx="3">
                  <c:v>30.771654822462569</c:v>
                </c:pt>
              </c:numCache>
            </c:numRef>
          </c:val>
          <c:smooth val="0"/>
          <c:extLst>
            <c:ext xmlns:c16="http://schemas.microsoft.com/office/drawing/2014/chart" uri="{C3380CC4-5D6E-409C-BE32-E72D297353CC}">
              <c16:uniqueId val="{00000010-E7F8-4AF0-95D0-AAB85B337E39}"/>
            </c:ext>
          </c:extLst>
        </c:ser>
        <c:ser>
          <c:idx val="14"/>
          <c:order val="1"/>
          <c:tx>
            <c:strRef>
              <c:f>Population!$E$203</c:f>
              <c:strCache>
                <c:ptCount val="1"/>
                <c:pt idx="0">
                  <c:v>10-19, UN Kenya</c:v>
                </c:pt>
              </c:strCache>
            </c:strRef>
          </c:tx>
          <c:spPr>
            <a:ln w="28575" cap="rnd">
              <a:noFill/>
              <a:round/>
            </a:ln>
            <a:effectLst/>
          </c:spPr>
          <c:marker>
            <c:symbol val="circle"/>
            <c:size val="5"/>
            <c:spPr>
              <a:noFill/>
              <a:ln w="12700">
                <a:solidFill>
                  <a:schemeClr val="accent2"/>
                </a:solidFill>
              </a:ln>
              <a:effectLst/>
            </c:spPr>
          </c:marker>
          <c:cat>
            <c:numRef>
              <c:f>Population!$B$222:$B$225</c:f>
              <c:numCache>
                <c:formatCode>General</c:formatCode>
                <c:ptCount val="4"/>
                <c:pt idx="0">
                  <c:v>1979</c:v>
                </c:pt>
                <c:pt idx="1">
                  <c:v>1989</c:v>
                </c:pt>
                <c:pt idx="2">
                  <c:v>1999</c:v>
                </c:pt>
                <c:pt idx="3">
                  <c:v>2009</c:v>
                </c:pt>
              </c:numCache>
            </c:numRef>
          </c:cat>
          <c:val>
            <c:numRef>
              <c:f>Population!$E$204:$E$207</c:f>
              <c:numCache>
                <c:formatCode>0.0</c:formatCode>
                <c:ptCount val="4"/>
                <c:pt idx="0">
                  <c:v>23.759083688007031</c:v>
                </c:pt>
                <c:pt idx="1">
                  <c:v>24.800900534610221</c:v>
                </c:pt>
                <c:pt idx="2">
                  <c:v>25.450789134978475</c:v>
                </c:pt>
                <c:pt idx="3">
                  <c:v>23.320224814804348</c:v>
                </c:pt>
              </c:numCache>
            </c:numRef>
          </c:val>
          <c:smooth val="0"/>
          <c:extLst>
            <c:ext xmlns:c16="http://schemas.microsoft.com/office/drawing/2014/chart" uri="{C3380CC4-5D6E-409C-BE32-E72D297353CC}">
              <c16:uniqueId val="{00000011-E7F8-4AF0-95D0-AAB85B337E39}"/>
            </c:ext>
          </c:extLst>
        </c:ser>
        <c:ser>
          <c:idx val="15"/>
          <c:order val="2"/>
          <c:tx>
            <c:strRef>
              <c:f>Population!$E$209</c:f>
              <c:strCache>
                <c:ptCount val="1"/>
                <c:pt idx="0">
                  <c:v>20-29, UN Kenya</c:v>
                </c:pt>
              </c:strCache>
            </c:strRef>
          </c:tx>
          <c:spPr>
            <a:ln w="28575" cap="rnd">
              <a:noFill/>
              <a:round/>
            </a:ln>
            <a:effectLst/>
          </c:spPr>
          <c:marker>
            <c:symbol val="circle"/>
            <c:size val="5"/>
            <c:spPr>
              <a:noFill/>
              <a:ln w="12700">
                <a:solidFill>
                  <a:schemeClr val="accent3">
                    <a:lumMod val="75000"/>
                  </a:schemeClr>
                </a:solidFill>
              </a:ln>
              <a:effectLst/>
            </c:spPr>
          </c:marker>
          <c:cat>
            <c:numRef>
              <c:f>Population!$B$222:$B$225</c:f>
              <c:numCache>
                <c:formatCode>General</c:formatCode>
                <c:ptCount val="4"/>
                <c:pt idx="0">
                  <c:v>1979</c:v>
                </c:pt>
                <c:pt idx="1">
                  <c:v>1989</c:v>
                </c:pt>
                <c:pt idx="2">
                  <c:v>1999</c:v>
                </c:pt>
                <c:pt idx="3">
                  <c:v>2009</c:v>
                </c:pt>
              </c:numCache>
            </c:numRef>
          </c:cat>
          <c:val>
            <c:numRef>
              <c:f>Population!$E$210:$E$213</c:f>
              <c:numCache>
                <c:formatCode>0.0</c:formatCode>
                <c:ptCount val="4"/>
                <c:pt idx="0">
                  <c:v>15.619140483308886</c:v>
                </c:pt>
                <c:pt idx="1">
                  <c:v>15.991680187808635</c:v>
                </c:pt>
                <c:pt idx="2">
                  <c:v>17.819076923230941</c:v>
                </c:pt>
                <c:pt idx="3">
                  <c:v>18.518544689874666</c:v>
                </c:pt>
              </c:numCache>
            </c:numRef>
          </c:val>
          <c:smooth val="0"/>
          <c:extLst>
            <c:ext xmlns:c16="http://schemas.microsoft.com/office/drawing/2014/chart" uri="{C3380CC4-5D6E-409C-BE32-E72D297353CC}">
              <c16:uniqueId val="{00000012-E7F8-4AF0-95D0-AAB85B337E39}"/>
            </c:ext>
          </c:extLst>
        </c:ser>
        <c:ser>
          <c:idx val="12"/>
          <c:order val="3"/>
          <c:tx>
            <c:strRef>
              <c:f>Population!$E$215</c:f>
              <c:strCache>
                <c:ptCount val="1"/>
                <c:pt idx="0">
                  <c:v>30-39, UN Kenya</c:v>
                </c:pt>
              </c:strCache>
            </c:strRef>
          </c:tx>
          <c:spPr>
            <a:ln w="28575" cap="rnd">
              <a:noFill/>
              <a:round/>
            </a:ln>
            <a:effectLst/>
          </c:spPr>
          <c:marker>
            <c:symbol val="circle"/>
            <c:size val="5"/>
            <c:spPr>
              <a:noFill/>
              <a:ln w="12700">
                <a:solidFill>
                  <a:srgbClr val="7030A0"/>
                </a:solidFill>
              </a:ln>
              <a:effectLst/>
            </c:spPr>
          </c:marker>
          <c:cat>
            <c:numRef>
              <c:f>Population!$B$222:$B$225</c:f>
              <c:numCache>
                <c:formatCode>General</c:formatCode>
                <c:ptCount val="4"/>
                <c:pt idx="0">
                  <c:v>1979</c:v>
                </c:pt>
                <c:pt idx="1">
                  <c:v>1989</c:v>
                </c:pt>
                <c:pt idx="2">
                  <c:v>1999</c:v>
                </c:pt>
                <c:pt idx="3">
                  <c:v>2009</c:v>
                </c:pt>
              </c:numCache>
            </c:numRef>
          </c:cat>
          <c:val>
            <c:numRef>
              <c:f>Population!$E$216:$E$219</c:f>
              <c:numCache>
                <c:formatCode>0.0</c:formatCode>
                <c:ptCount val="4"/>
                <c:pt idx="0">
                  <c:v>8.6790788906003087</c:v>
                </c:pt>
                <c:pt idx="1">
                  <c:v>10.338790487871348</c:v>
                </c:pt>
                <c:pt idx="2">
                  <c:v>11.122003036050213</c:v>
                </c:pt>
                <c:pt idx="3">
                  <c:v>12.448317519648267</c:v>
                </c:pt>
              </c:numCache>
            </c:numRef>
          </c:val>
          <c:smooth val="0"/>
          <c:extLst>
            <c:ext xmlns:c16="http://schemas.microsoft.com/office/drawing/2014/chart" uri="{C3380CC4-5D6E-409C-BE32-E72D297353CC}">
              <c16:uniqueId val="{0000000F-E7F8-4AF0-95D0-AAB85B337E39}"/>
            </c:ext>
          </c:extLst>
        </c:ser>
        <c:ser>
          <c:idx val="6"/>
          <c:order val="4"/>
          <c:tx>
            <c:strRef>
              <c:f>Population!$E$221</c:f>
              <c:strCache>
                <c:ptCount val="1"/>
                <c:pt idx="0">
                  <c:v>40-49, UN Kenya</c:v>
                </c:pt>
              </c:strCache>
            </c:strRef>
          </c:tx>
          <c:spPr>
            <a:ln w="25400" cap="rnd">
              <a:noFill/>
              <a:round/>
            </a:ln>
            <a:effectLst/>
          </c:spPr>
          <c:marker>
            <c:symbol val="circle"/>
            <c:size val="5"/>
            <c:spPr>
              <a:noFill/>
              <a:ln w="9525">
                <a:solidFill>
                  <a:schemeClr val="accent6"/>
                </a:solidFill>
              </a:ln>
              <a:effectLst/>
            </c:spPr>
          </c:marker>
          <c:cat>
            <c:numRef>
              <c:f>Population!$B$222:$B$225</c:f>
              <c:numCache>
                <c:formatCode>General</c:formatCode>
                <c:ptCount val="4"/>
                <c:pt idx="0">
                  <c:v>1979</c:v>
                </c:pt>
                <c:pt idx="1">
                  <c:v>1989</c:v>
                </c:pt>
                <c:pt idx="2">
                  <c:v>1999</c:v>
                </c:pt>
                <c:pt idx="3">
                  <c:v>2009</c:v>
                </c:pt>
              </c:numCache>
            </c:numRef>
          </c:cat>
          <c:val>
            <c:numRef>
              <c:f>Population!$E$222:$E$225</c:f>
              <c:numCache>
                <c:formatCode>General</c:formatCode>
                <c:ptCount val="4"/>
                <c:pt idx="0">
                  <c:v>6.2283021048104255</c:v>
                </c:pt>
                <c:pt idx="1">
                  <c:v>5.6277512085148489</c:v>
                </c:pt>
                <c:pt idx="2">
                  <c:v>6.8439021382339202</c:v>
                </c:pt>
                <c:pt idx="3">
                  <c:v>7.3947238165336548</c:v>
                </c:pt>
              </c:numCache>
            </c:numRef>
          </c:val>
          <c:smooth val="0"/>
          <c:extLst>
            <c:ext xmlns:c16="http://schemas.microsoft.com/office/drawing/2014/chart" uri="{C3380CC4-5D6E-409C-BE32-E72D297353CC}">
              <c16:uniqueId val="{00000016-E7F8-4AF0-95D0-AAB85B337E39}"/>
            </c:ext>
          </c:extLst>
        </c:ser>
        <c:ser>
          <c:idx val="2"/>
          <c:order val="5"/>
          <c:tx>
            <c:strRef>
              <c:f>Population!$D$197</c:f>
              <c:strCache>
                <c:ptCount val="1"/>
                <c:pt idx="0">
                  <c:v>0-9, Nyanza KNBS</c:v>
                </c:pt>
              </c:strCache>
            </c:strRef>
          </c:tx>
          <c:spPr>
            <a:ln w="22225" cap="rnd">
              <a:solidFill>
                <a:schemeClr val="accent5">
                  <a:lumMod val="60000"/>
                  <a:lumOff val="40000"/>
                </a:schemeClr>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Population!$D$198:$D$201</c:f>
              <c:numCache>
                <c:formatCode>0.0</c:formatCode>
                <c:ptCount val="4"/>
                <c:pt idx="1">
                  <c:v>35.417126440124527</c:v>
                </c:pt>
                <c:pt idx="2">
                  <c:v>30.22478960410692</c:v>
                </c:pt>
                <c:pt idx="3">
                  <c:v>32.388069107472361</c:v>
                </c:pt>
              </c:numCache>
            </c:numRef>
          </c:val>
          <c:smooth val="0"/>
          <c:extLst>
            <c:ext xmlns:c16="http://schemas.microsoft.com/office/drawing/2014/chart" uri="{C3380CC4-5D6E-409C-BE32-E72D297353CC}">
              <c16:uniqueId val="{00000002-E7F8-4AF0-95D0-AAB85B337E39}"/>
            </c:ext>
          </c:extLst>
        </c:ser>
        <c:ser>
          <c:idx val="0"/>
          <c:order val="6"/>
          <c:tx>
            <c:strRef>
              <c:f>Population!$D$203</c:f>
              <c:strCache>
                <c:ptCount val="1"/>
                <c:pt idx="0">
                  <c:v>10-19, Nyanza KNBS</c:v>
                </c:pt>
              </c:strCache>
            </c:strRef>
          </c:tx>
          <c:spPr>
            <a:ln w="22225" cap="rnd">
              <a:solidFill>
                <a:schemeClr val="accent2"/>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Population!$D$204:$D$207</c:f>
              <c:numCache>
                <c:formatCode>0.0</c:formatCode>
                <c:ptCount val="4"/>
                <c:pt idx="1">
                  <c:v>25.551457275141555</c:v>
                </c:pt>
                <c:pt idx="2">
                  <c:v>28.193004137338136</c:v>
                </c:pt>
                <c:pt idx="3">
                  <c:v>25.107212196274979</c:v>
                </c:pt>
              </c:numCache>
            </c:numRef>
          </c:val>
          <c:smooth val="0"/>
          <c:extLst>
            <c:ext xmlns:c16="http://schemas.microsoft.com/office/drawing/2014/chart" uri="{C3380CC4-5D6E-409C-BE32-E72D297353CC}">
              <c16:uniqueId val="{00000013-E7F8-4AF0-95D0-AAB85B337E39}"/>
            </c:ext>
          </c:extLst>
        </c:ser>
        <c:ser>
          <c:idx val="9"/>
          <c:order val="7"/>
          <c:tx>
            <c:strRef>
              <c:f>Population!$D$209</c:f>
              <c:strCache>
                <c:ptCount val="1"/>
                <c:pt idx="0">
                  <c:v>20-29, Nyanza KNBS</c:v>
                </c:pt>
              </c:strCache>
            </c:strRef>
          </c:tx>
          <c:spPr>
            <a:ln w="22225" cap="rnd">
              <a:solidFill>
                <a:schemeClr val="accent3"/>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Population!$D$210:$D$213</c:f>
              <c:numCache>
                <c:formatCode>0.0</c:formatCode>
                <c:ptCount val="4"/>
                <c:pt idx="1">
                  <c:v>14.68945546285002</c:v>
                </c:pt>
                <c:pt idx="2">
                  <c:v>15.7462690644953</c:v>
                </c:pt>
                <c:pt idx="3">
                  <c:v>16.924690655079793</c:v>
                </c:pt>
              </c:numCache>
            </c:numRef>
          </c:val>
          <c:smooth val="0"/>
          <c:extLst>
            <c:ext xmlns:c16="http://schemas.microsoft.com/office/drawing/2014/chart" uri="{C3380CC4-5D6E-409C-BE32-E72D297353CC}">
              <c16:uniqueId val="{0000000C-E7F8-4AF0-95D0-AAB85B337E39}"/>
            </c:ext>
          </c:extLst>
        </c:ser>
        <c:ser>
          <c:idx val="11"/>
          <c:order val="8"/>
          <c:tx>
            <c:strRef>
              <c:f>Population!$D$215</c:f>
              <c:strCache>
                <c:ptCount val="1"/>
                <c:pt idx="0">
                  <c:v>30-39, Nyanza KNBS</c:v>
                </c:pt>
              </c:strCache>
            </c:strRef>
          </c:tx>
          <c:spPr>
            <a:ln w="22225" cap="rnd">
              <a:solidFill>
                <a:srgbClr val="7030A0">
                  <a:alpha val="70000"/>
                </a:srgbClr>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Population!$D$216:$D$219</c:f>
              <c:numCache>
                <c:formatCode>0.0</c:formatCode>
                <c:ptCount val="4"/>
                <c:pt idx="1">
                  <c:v>9.0125862449467693</c:v>
                </c:pt>
                <c:pt idx="2">
                  <c:v>9.7309409689367232</c:v>
                </c:pt>
                <c:pt idx="3">
                  <c:v>9.6823990838389182</c:v>
                </c:pt>
              </c:numCache>
            </c:numRef>
          </c:val>
          <c:smooth val="0"/>
          <c:extLst>
            <c:ext xmlns:c16="http://schemas.microsoft.com/office/drawing/2014/chart" uri="{C3380CC4-5D6E-409C-BE32-E72D297353CC}">
              <c16:uniqueId val="{0000000E-E7F8-4AF0-95D0-AAB85B337E39}"/>
            </c:ext>
          </c:extLst>
        </c:ser>
        <c:ser>
          <c:idx val="5"/>
          <c:order val="9"/>
          <c:tx>
            <c:strRef>
              <c:f>Population!$D$221</c:f>
              <c:strCache>
                <c:ptCount val="1"/>
                <c:pt idx="0">
                  <c:v>40-49, Nyanza KNBS</c:v>
                </c:pt>
              </c:strCache>
            </c:strRef>
          </c:tx>
          <c:spPr>
            <a:ln w="19050" cap="rnd">
              <a:solidFill>
                <a:schemeClr val="accent6"/>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Population!$D$222:$D$225</c:f>
              <c:numCache>
                <c:formatCode>General</c:formatCode>
                <c:ptCount val="4"/>
                <c:pt idx="1">
                  <c:v>5.8398499983747545</c:v>
                </c:pt>
                <c:pt idx="2">
                  <c:v>6.4470028204570111</c:v>
                </c:pt>
                <c:pt idx="3">
                  <c:v>6.2541443041895848</c:v>
                </c:pt>
              </c:numCache>
            </c:numRef>
          </c:val>
          <c:smooth val="0"/>
          <c:extLst>
            <c:ext xmlns:c16="http://schemas.microsoft.com/office/drawing/2014/chart" uri="{C3380CC4-5D6E-409C-BE32-E72D297353CC}">
              <c16:uniqueId val="{00000015-E7F8-4AF0-95D0-AAB85B337E39}"/>
            </c:ext>
          </c:extLst>
        </c:ser>
        <c:ser>
          <c:idx val="1"/>
          <c:order val="10"/>
          <c:tx>
            <c:strRef>
              <c:f>Population!$C$197</c:f>
              <c:strCache>
                <c:ptCount val="1"/>
                <c:pt idx="0">
                  <c:v>0-9, Kenya KNBS</c:v>
                </c:pt>
              </c:strCache>
            </c:strRef>
          </c:tx>
          <c:spPr>
            <a:ln w="22225" cap="rnd">
              <a:solidFill>
                <a:schemeClr val="accent5">
                  <a:lumMod val="60000"/>
                  <a:lumOff val="40000"/>
                </a:schemeClr>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Population!$C$198:$C$201</c:f>
              <c:numCache>
                <c:formatCode>#,##0.0</c:formatCode>
                <c:ptCount val="4"/>
                <c:pt idx="0">
                  <c:v>34.876414407092994</c:v>
                </c:pt>
                <c:pt idx="1">
                  <c:v>33.898080530745808</c:v>
                </c:pt>
                <c:pt idx="2">
                  <c:v>29.624339399009969</c:v>
                </c:pt>
                <c:pt idx="3">
                  <c:v>29.880841791202961</c:v>
                </c:pt>
              </c:numCache>
            </c:numRef>
          </c:val>
          <c:smooth val="0"/>
          <c:extLst>
            <c:ext xmlns:c16="http://schemas.microsoft.com/office/drawing/2014/chart" uri="{C3380CC4-5D6E-409C-BE32-E72D297353CC}">
              <c16:uniqueId val="{00000001-E7F8-4AF0-95D0-AAB85B337E39}"/>
            </c:ext>
          </c:extLst>
        </c:ser>
        <c:ser>
          <c:idx val="4"/>
          <c:order val="11"/>
          <c:tx>
            <c:strRef>
              <c:f>Population!$C$203</c:f>
              <c:strCache>
                <c:ptCount val="1"/>
                <c:pt idx="0">
                  <c:v>10-19, Kenya KNBS</c:v>
                </c:pt>
              </c:strCache>
            </c:strRef>
          </c:tx>
          <c:spPr>
            <a:ln w="22225" cap="rnd">
              <a:solidFill>
                <a:schemeClr val="accent2"/>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Population!$C$204:$C$207</c:f>
              <c:numCache>
                <c:formatCode>#,##0.0</c:formatCode>
                <c:ptCount val="4"/>
                <c:pt idx="0">
                  <c:v>24.949155343304064</c:v>
                </c:pt>
                <c:pt idx="1">
                  <c:v>25.034877480666058</c:v>
                </c:pt>
                <c:pt idx="2">
                  <c:v>25.942316809593528</c:v>
                </c:pt>
                <c:pt idx="3">
                  <c:v>23.839354767743785</c:v>
                </c:pt>
              </c:numCache>
            </c:numRef>
          </c:val>
          <c:smooth val="0"/>
          <c:extLst>
            <c:ext xmlns:c16="http://schemas.microsoft.com/office/drawing/2014/chart" uri="{C3380CC4-5D6E-409C-BE32-E72D297353CC}">
              <c16:uniqueId val="{00000005-E7F8-4AF0-95D0-AAB85B337E39}"/>
            </c:ext>
          </c:extLst>
        </c:ser>
        <c:ser>
          <c:idx val="8"/>
          <c:order val="12"/>
          <c:tx>
            <c:strRef>
              <c:f>Population!$C$209</c:f>
              <c:strCache>
                <c:ptCount val="1"/>
                <c:pt idx="0">
                  <c:v>20-29, Kenya KNBS</c:v>
                </c:pt>
              </c:strCache>
            </c:strRef>
          </c:tx>
          <c:spPr>
            <a:ln w="22225" cap="rnd">
              <a:solidFill>
                <a:schemeClr val="accent3"/>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Population!$C$210:$C$213</c:f>
              <c:numCache>
                <c:formatCode>#,##0.0</c:formatCode>
                <c:ptCount val="4"/>
                <c:pt idx="0">
                  <c:v>15.578389674285651</c:v>
                </c:pt>
                <c:pt idx="1">
                  <c:v>16.474332990916281</c:v>
                </c:pt>
                <c:pt idx="2">
                  <c:v>17.752286829812451</c:v>
                </c:pt>
                <c:pt idx="3">
                  <c:v>18.068664784758244</c:v>
                </c:pt>
              </c:numCache>
            </c:numRef>
          </c:val>
          <c:smooth val="0"/>
          <c:extLst>
            <c:ext xmlns:c16="http://schemas.microsoft.com/office/drawing/2014/chart" uri="{C3380CC4-5D6E-409C-BE32-E72D297353CC}">
              <c16:uniqueId val="{0000000B-E7F8-4AF0-95D0-AAB85B337E39}"/>
            </c:ext>
          </c:extLst>
        </c:ser>
        <c:ser>
          <c:idx val="10"/>
          <c:order val="13"/>
          <c:tx>
            <c:strRef>
              <c:f>Population!$C$215</c:f>
              <c:strCache>
                <c:ptCount val="1"/>
                <c:pt idx="0">
                  <c:v>30-39, Kenya KNBS</c:v>
                </c:pt>
              </c:strCache>
            </c:strRef>
          </c:tx>
          <c:spPr>
            <a:ln w="22225" cap="rnd">
              <a:solidFill>
                <a:srgbClr val="7030A0">
                  <a:alpha val="70000"/>
                </a:srgbClr>
              </a:solidFill>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Population!$C$216:$C$219</c:f>
              <c:numCache>
                <c:formatCode>0.0</c:formatCode>
                <c:ptCount val="4"/>
                <c:pt idx="0">
                  <c:v>9.3718769561922759</c:v>
                </c:pt>
                <c:pt idx="1">
                  <c:v>9.6919943987111132</c:v>
                </c:pt>
                <c:pt idx="2">
                  <c:v>10.823865300146412</c:v>
                </c:pt>
                <c:pt idx="3">
                  <c:v>11.727859683957801</c:v>
                </c:pt>
              </c:numCache>
            </c:numRef>
          </c:val>
          <c:smooth val="0"/>
          <c:extLst>
            <c:ext xmlns:c16="http://schemas.microsoft.com/office/drawing/2014/chart" uri="{C3380CC4-5D6E-409C-BE32-E72D297353CC}">
              <c16:uniqueId val="{0000000D-E7F8-4AF0-95D0-AAB85B337E39}"/>
            </c:ext>
          </c:extLst>
        </c:ser>
        <c:ser>
          <c:idx val="3"/>
          <c:order val="14"/>
          <c:tx>
            <c:strRef>
              <c:f>Population!$C$221</c:f>
              <c:strCache>
                <c:ptCount val="1"/>
                <c:pt idx="0">
                  <c:v>40-49, Kenya KNBS</c:v>
                </c:pt>
              </c:strCache>
            </c:strRef>
          </c:tx>
          <c:spPr>
            <a:ln w="19050" cap="rnd">
              <a:solidFill>
                <a:schemeClr val="accent6"/>
              </a:solidFill>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Population!$C$222:$C$225</c:f>
              <c:numCache>
                <c:formatCode>General</c:formatCode>
                <c:ptCount val="4"/>
                <c:pt idx="0">
                  <c:v>6.3804945306367493</c:v>
                </c:pt>
                <c:pt idx="1">
                  <c:v>6.093696050427269</c:v>
                </c:pt>
                <c:pt idx="2">
                  <c:v>6.5252004462106949</c:v>
                </c:pt>
                <c:pt idx="3">
                  <c:v>7.1196764929132392</c:v>
                </c:pt>
              </c:numCache>
            </c:numRef>
          </c:val>
          <c:smooth val="0"/>
          <c:extLst>
            <c:ext xmlns:c16="http://schemas.microsoft.com/office/drawing/2014/chart" uri="{C3380CC4-5D6E-409C-BE32-E72D297353CC}">
              <c16:uniqueId val="{00000014-E7F8-4AF0-95D0-AAB85B337E39}"/>
            </c:ext>
          </c:extLst>
        </c:ser>
        <c:dLbls>
          <c:showLegendKey val="0"/>
          <c:showVal val="0"/>
          <c:showCatName val="0"/>
          <c:showSerName val="0"/>
          <c:showPercent val="0"/>
          <c:showBubbleSize val="0"/>
        </c:dLbls>
        <c:marker val="1"/>
        <c:smooth val="0"/>
        <c:axId val="449017776"/>
        <c:axId val="449017448"/>
      </c:lineChart>
      <c:catAx>
        <c:axId val="44901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17448"/>
        <c:crosses val="autoZero"/>
        <c:auto val="1"/>
        <c:lblAlgn val="ctr"/>
        <c:lblOffset val="100"/>
        <c:noMultiLvlLbl val="0"/>
      </c:catAx>
      <c:valAx>
        <c:axId val="449017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Proportion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1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 Risk Distribution - Nyanza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behavior'!$C$54:$C$69</c:f>
              <c:numCache>
                <c:formatCode>General</c:formatCode>
                <c:ptCount val="16"/>
                <c:pt idx="0">
                  <c:v>1</c:v>
                </c:pt>
                <c:pt idx="1">
                  <c:v>1</c:v>
                </c:pt>
                <c:pt idx="2">
                  <c:v>1</c:v>
                </c:pt>
                <c:pt idx="3">
                  <c:v>0.97724200000000006</c:v>
                </c:pt>
                <c:pt idx="4">
                  <c:v>0.98365199999999997</c:v>
                </c:pt>
                <c:pt idx="5">
                  <c:v>0.98638800000000004</c:v>
                </c:pt>
                <c:pt idx="6">
                  <c:v>0.98581200000000002</c:v>
                </c:pt>
                <c:pt idx="7">
                  <c:v>0.98610100000000001</c:v>
                </c:pt>
                <c:pt idx="8">
                  <c:v>0.98610100000000001</c:v>
                </c:pt>
                <c:pt idx="9">
                  <c:v>0.98610100000000001</c:v>
                </c:pt>
                <c:pt idx="10">
                  <c:v>0.98610100000000001</c:v>
                </c:pt>
                <c:pt idx="11">
                  <c:v>0.98610100000000001</c:v>
                </c:pt>
                <c:pt idx="12">
                  <c:v>0.98610100000000001</c:v>
                </c:pt>
                <c:pt idx="13">
                  <c:v>0.98610100000000001</c:v>
                </c:pt>
                <c:pt idx="14">
                  <c:v>0.98610100000000001</c:v>
                </c:pt>
                <c:pt idx="15">
                  <c:v>0.98610100000000001</c:v>
                </c:pt>
              </c:numCache>
            </c:numRef>
          </c:val>
          <c:extLst>
            <c:ext xmlns:c16="http://schemas.microsoft.com/office/drawing/2014/chart" uri="{C3380CC4-5D6E-409C-BE32-E72D297353CC}">
              <c16:uniqueId val="{00000000-38A7-4690-B9A6-821A94AD4ACC}"/>
            </c:ext>
          </c:extLst>
        </c:ser>
        <c:ser>
          <c:idx val="1"/>
          <c:order val="1"/>
          <c:tx>
            <c:strRef>
              <c:f>'Sexual behavior'!$D$53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behavior'!$D$54:$D$69</c:f>
              <c:numCache>
                <c:formatCode>General</c:formatCode>
                <c:ptCount val="16"/>
                <c:pt idx="0">
                  <c:v>0</c:v>
                </c:pt>
                <c:pt idx="1">
                  <c:v>0</c:v>
                </c:pt>
                <c:pt idx="2">
                  <c:v>0</c:v>
                </c:pt>
                <c:pt idx="3">
                  <c:v>2.2758E-2</c:v>
                </c:pt>
                <c:pt idx="4">
                  <c:v>1.6348000000000001E-2</c:v>
                </c:pt>
                <c:pt idx="5">
                  <c:v>1.3612000000000001E-2</c:v>
                </c:pt>
                <c:pt idx="6">
                  <c:v>1.4187999999999999E-2</c:v>
                </c:pt>
                <c:pt idx="7">
                  <c:v>1.3899E-2</c:v>
                </c:pt>
                <c:pt idx="8">
                  <c:v>1.3899E-2</c:v>
                </c:pt>
                <c:pt idx="9">
                  <c:v>1.3899E-2</c:v>
                </c:pt>
                <c:pt idx="10">
                  <c:v>1.3899E-2</c:v>
                </c:pt>
                <c:pt idx="11">
                  <c:v>1.3899E-2</c:v>
                </c:pt>
                <c:pt idx="12">
                  <c:v>1.3899E-2</c:v>
                </c:pt>
                <c:pt idx="13">
                  <c:v>1.3899E-2</c:v>
                </c:pt>
                <c:pt idx="14">
                  <c:v>1.3899E-2</c:v>
                </c:pt>
                <c:pt idx="15">
                  <c:v>1.3899E-2</c:v>
                </c:pt>
              </c:numCache>
            </c:numRef>
          </c:val>
          <c:extLst>
            <c:ext xmlns:c16="http://schemas.microsoft.com/office/drawing/2014/chart" uri="{C3380CC4-5D6E-409C-BE32-E72D297353CC}">
              <c16:uniqueId val="{00000001-38A7-4690-B9A6-821A94AD4ACC}"/>
            </c:ext>
          </c:extLst>
        </c:ser>
        <c:ser>
          <c:idx val="2"/>
          <c:order val="2"/>
          <c:tx>
            <c:strRef>
              <c:f>'Sexual behavior'!$E$53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behavior'!$E$54:$E$69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38A7-4690-B9A6-821A94AD4ACC}"/>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 Risk Distribution - Nyanza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behavior'!$F$54:$F$69</c:f>
              <c:numCache>
                <c:formatCode>General</c:formatCode>
                <c:ptCount val="16"/>
                <c:pt idx="0">
                  <c:v>1</c:v>
                </c:pt>
                <c:pt idx="1">
                  <c:v>1</c:v>
                </c:pt>
                <c:pt idx="2">
                  <c:v>1</c:v>
                </c:pt>
                <c:pt idx="3">
                  <c:v>0.94561300000000004</c:v>
                </c:pt>
                <c:pt idx="4">
                  <c:v>0.70302699999999996</c:v>
                </c:pt>
                <c:pt idx="5">
                  <c:v>0.82045599999999996</c:v>
                </c:pt>
                <c:pt idx="6">
                  <c:v>0.723132</c:v>
                </c:pt>
                <c:pt idx="7">
                  <c:v>0.75290500000000005</c:v>
                </c:pt>
                <c:pt idx="8">
                  <c:v>0.85122299999999995</c:v>
                </c:pt>
                <c:pt idx="9">
                  <c:v>0.78364100000000003</c:v>
                </c:pt>
                <c:pt idx="10">
                  <c:v>0.87470700000000001</c:v>
                </c:pt>
                <c:pt idx="11">
                  <c:v>0.87470700000000001</c:v>
                </c:pt>
                <c:pt idx="12">
                  <c:v>0.87470700000000001</c:v>
                </c:pt>
                <c:pt idx="13">
                  <c:v>0.87470700000000001</c:v>
                </c:pt>
                <c:pt idx="14">
                  <c:v>0.87470700000000001</c:v>
                </c:pt>
                <c:pt idx="15">
                  <c:v>0.87470700000000001</c:v>
                </c:pt>
              </c:numCache>
            </c:numRef>
          </c:val>
          <c:extLst>
            <c:ext xmlns:c16="http://schemas.microsoft.com/office/drawing/2014/chart" uri="{C3380CC4-5D6E-409C-BE32-E72D297353CC}">
              <c16:uniqueId val="{00000004-2896-4F65-9C07-0058996316E0}"/>
            </c:ext>
          </c:extLst>
        </c:ser>
        <c:ser>
          <c:idx val="1"/>
          <c:order val="1"/>
          <c:tx>
            <c:strRef>
              <c:f>'Sexual behavior'!$G$53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behavior'!$G$54:$G$69</c:f>
              <c:numCache>
                <c:formatCode>General</c:formatCode>
                <c:ptCount val="16"/>
                <c:pt idx="0">
                  <c:v>0</c:v>
                </c:pt>
                <c:pt idx="1">
                  <c:v>0</c:v>
                </c:pt>
                <c:pt idx="2">
                  <c:v>0</c:v>
                </c:pt>
                <c:pt idx="3">
                  <c:v>4.9265999999999997E-2</c:v>
                </c:pt>
                <c:pt idx="4">
                  <c:v>0.26459899999999997</c:v>
                </c:pt>
                <c:pt idx="5">
                  <c:v>0.17419699999999999</c:v>
                </c:pt>
                <c:pt idx="6">
                  <c:v>0.276868</c:v>
                </c:pt>
                <c:pt idx="7">
                  <c:v>0.24307100000000001</c:v>
                </c:pt>
                <c:pt idx="8">
                  <c:v>0.12883500000000001</c:v>
                </c:pt>
                <c:pt idx="9">
                  <c:v>0.216359</c:v>
                </c:pt>
                <c:pt idx="10">
                  <c:v>0.117185</c:v>
                </c:pt>
                <c:pt idx="11">
                  <c:v>0.117185</c:v>
                </c:pt>
                <c:pt idx="12">
                  <c:v>0.117185</c:v>
                </c:pt>
                <c:pt idx="13">
                  <c:v>0.117185</c:v>
                </c:pt>
                <c:pt idx="14">
                  <c:v>0.117185</c:v>
                </c:pt>
                <c:pt idx="15">
                  <c:v>0.117185</c:v>
                </c:pt>
              </c:numCache>
            </c:numRef>
          </c:val>
          <c:extLst>
            <c:ext xmlns:c16="http://schemas.microsoft.com/office/drawing/2014/chart" uri="{C3380CC4-5D6E-409C-BE32-E72D297353CC}">
              <c16:uniqueId val="{00000005-2896-4F65-9C07-0058996316E0}"/>
            </c:ext>
          </c:extLst>
        </c:ser>
        <c:ser>
          <c:idx val="2"/>
          <c:order val="2"/>
          <c:tx>
            <c:strRef>
              <c:f>'Sexual behavior'!$H$53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behavior'!$H$54:$H$69</c:f>
              <c:numCache>
                <c:formatCode>General</c:formatCode>
                <c:ptCount val="16"/>
                <c:pt idx="0">
                  <c:v>0</c:v>
                </c:pt>
                <c:pt idx="1">
                  <c:v>0</c:v>
                </c:pt>
                <c:pt idx="2">
                  <c:v>0</c:v>
                </c:pt>
                <c:pt idx="3">
                  <c:v>5.1209999999999997E-3</c:v>
                </c:pt>
                <c:pt idx="4">
                  <c:v>3.2374E-2</c:v>
                </c:pt>
                <c:pt idx="5">
                  <c:v>5.3480000000000003E-3</c:v>
                </c:pt>
                <c:pt idx="6">
                  <c:v>4.6860000000000001E-3</c:v>
                </c:pt>
                <c:pt idx="7">
                  <c:v>4.0239999999999998E-3</c:v>
                </c:pt>
                <c:pt idx="8">
                  <c:v>1.9942000000000001E-2</c:v>
                </c:pt>
                <c:pt idx="9">
                  <c:v>1.4025000000000001E-2</c:v>
                </c:pt>
                <c:pt idx="10">
                  <c:v>8.1080000000000006E-3</c:v>
                </c:pt>
                <c:pt idx="11">
                  <c:v>8.1080000000000006E-3</c:v>
                </c:pt>
                <c:pt idx="12">
                  <c:v>8.1080000000000006E-3</c:v>
                </c:pt>
                <c:pt idx="13">
                  <c:v>8.1080000000000006E-3</c:v>
                </c:pt>
                <c:pt idx="14">
                  <c:v>8.1080000000000006E-3</c:v>
                </c:pt>
                <c:pt idx="15">
                  <c:v>8.1080000000000006E-3</c:v>
                </c:pt>
              </c:numCache>
            </c:numRef>
          </c:val>
          <c:extLst>
            <c:ext xmlns:c16="http://schemas.microsoft.com/office/drawing/2014/chart" uri="{C3380CC4-5D6E-409C-BE32-E72D297353CC}">
              <c16:uniqueId val="{00000006-2896-4F65-9C07-0058996316E0}"/>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24.png"/><Relationship Id="rId1" Type="http://schemas.openxmlformats.org/officeDocument/2006/relationships/image" Target="../media/image23.png"/><Relationship Id="rId5" Type="http://schemas.openxmlformats.org/officeDocument/2006/relationships/image" Target="../media/image27.png"/><Relationship Id="rId4" Type="http://schemas.openxmlformats.org/officeDocument/2006/relationships/image" Target="../media/image26.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8.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image" Target="../media/image3.png"/><Relationship Id="rId7" Type="http://schemas.openxmlformats.org/officeDocument/2006/relationships/chart" Target="../charts/chart8.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7.png"/><Relationship Id="rId5" Type="http://schemas.openxmlformats.org/officeDocument/2006/relationships/image" Target="../media/image5.jpeg"/><Relationship Id="rId10" Type="http://schemas.openxmlformats.org/officeDocument/2006/relationships/chart" Target="../charts/chart11.xml"/><Relationship Id="rId4" Type="http://schemas.openxmlformats.org/officeDocument/2006/relationships/image" Target="../media/image4.png"/><Relationship Id="rId9"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chart" Target="../charts/chart14.xml"/><Relationship Id="rId4"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11" Type="http://schemas.openxmlformats.org/officeDocument/2006/relationships/image" Target="../media/image20.png"/><Relationship Id="rId5" Type="http://schemas.openxmlformats.org/officeDocument/2006/relationships/image" Target="../media/image16.png"/><Relationship Id="rId10" Type="http://schemas.openxmlformats.org/officeDocument/2006/relationships/image" Target="../media/image19.png"/><Relationship Id="rId4" Type="http://schemas.openxmlformats.org/officeDocument/2006/relationships/image" Target="../media/image15.png"/><Relationship Id="rId9" Type="http://schemas.openxmlformats.org/officeDocument/2006/relationships/chart" Target="../charts/chart19.xml"/></Relationships>
</file>

<file path=xl/drawings/_rels/drawing9.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xdr:from>
      <xdr:col>20</xdr:col>
      <xdr:colOff>276225</xdr:colOff>
      <xdr:row>86</xdr:row>
      <xdr:rowOff>28575</xdr:rowOff>
    </xdr:from>
    <xdr:to>
      <xdr:col>29</xdr:col>
      <xdr:colOff>257175</xdr:colOff>
      <xdr:row>106</xdr:row>
      <xdr:rowOff>95251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252411</xdr:colOff>
      <xdr:row>105</xdr:row>
      <xdr:rowOff>114300</xdr:rowOff>
    </xdr:from>
    <xdr:to>
      <xdr:col>29</xdr:col>
      <xdr:colOff>219074</xdr:colOff>
      <xdr:row>125</xdr:row>
      <xdr:rowOff>66676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66675</xdr:colOff>
      <xdr:row>14</xdr:row>
      <xdr:rowOff>152399</xdr:rowOff>
    </xdr:from>
    <xdr:to>
      <xdr:col>35</xdr:col>
      <xdr:colOff>9525</xdr:colOff>
      <xdr:row>27</xdr:row>
      <xdr:rowOff>47624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9525</xdr:colOff>
      <xdr:row>1</xdr:row>
      <xdr:rowOff>19051</xdr:rowOff>
    </xdr:from>
    <xdr:to>
      <xdr:col>34</xdr:col>
      <xdr:colOff>361951</xdr:colOff>
      <xdr:row>14</xdr:row>
      <xdr:rowOff>133351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76200</xdr:colOff>
      <xdr:row>28</xdr:row>
      <xdr:rowOff>57150</xdr:rowOff>
    </xdr:from>
    <xdr:to>
      <xdr:col>28</xdr:col>
      <xdr:colOff>314325</xdr:colOff>
      <xdr:row>42</xdr:row>
      <xdr:rowOff>133350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85725</xdr:colOff>
      <xdr:row>43</xdr:row>
      <xdr:rowOff>47625</xdr:rowOff>
    </xdr:from>
    <xdr:to>
      <xdr:col>28</xdr:col>
      <xdr:colOff>323850</xdr:colOff>
      <xdr:row>57</xdr:row>
      <xdr:rowOff>123825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611979</xdr:colOff>
      <xdr:row>202</xdr:row>
      <xdr:rowOff>7143</xdr:rowOff>
    </xdr:from>
    <xdr:to>
      <xdr:col>16</xdr:col>
      <xdr:colOff>142874</xdr:colOff>
      <xdr:row>230</xdr:row>
      <xdr:rowOff>107157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590550</xdr:colOff>
      <xdr:row>70</xdr:row>
      <xdr:rowOff>142875</xdr:rowOff>
    </xdr:from>
    <xdr:to>
      <xdr:col>8</xdr:col>
      <xdr:colOff>561975</xdr:colOff>
      <xdr:row>94</xdr:row>
      <xdr:rowOff>144930</xdr:rowOff>
    </xdr:to>
    <xdr:pic>
      <xdr:nvPicPr>
        <xdr:cNvPr id="2" name="Picture 1"/>
        <xdr:cNvPicPr>
          <a:picLocks noChangeAspect="1"/>
        </xdr:cNvPicPr>
      </xdr:nvPicPr>
      <xdr:blipFill>
        <a:blip xmlns:r="http://schemas.openxmlformats.org/officeDocument/2006/relationships" r:embed="rId1"/>
        <a:stretch>
          <a:fillRect/>
        </a:stretch>
      </xdr:blipFill>
      <xdr:spPr>
        <a:xfrm>
          <a:off x="590550" y="8524875"/>
          <a:ext cx="5486400" cy="4574055"/>
        </a:xfrm>
        <a:prstGeom prst="rect">
          <a:avLst/>
        </a:prstGeom>
      </xdr:spPr>
    </xdr:pic>
    <xdr:clientData/>
  </xdr:twoCellAnchor>
  <xdr:twoCellAnchor>
    <xdr:from>
      <xdr:col>14</xdr:col>
      <xdr:colOff>19050</xdr:colOff>
      <xdr:row>32</xdr:row>
      <xdr:rowOff>9526</xdr:rowOff>
    </xdr:from>
    <xdr:to>
      <xdr:col>20</xdr:col>
      <xdr:colOff>333375</xdr:colOff>
      <xdr:row>42</xdr:row>
      <xdr:rowOff>161926</xdr:rowOff>
    </xdr:to>
    <xdr:sp macro="" textlink="">
      <xdr:nvSpPr>
        <xdr:cNvPr id="3" name="TextBox 2"/>
        <xdr:cNvSpPr txBox="1"/>
      </xdr:nvSpPr>
      <xdr:spPr>
        <a:xfrm>
          <a:off x="9124950" y="6105526"/>
          <a:ext cx="3971925" cy="2057400"/>
        </a:xfrm>
        <a:prstGeom prst="rect">
          <a:avLst/>
        </a:prstGeom>
        <a:solidFill>
          <a:schemeClr val="lt1"/>
        </a:solidFill>
        <a:ln w="28575" cmpd="sng">
          <a:solidFill>
            <a:schemeClr val="accent4"/>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WHO</a:t>
          </a:r>
          <a:r>
            <a:rPr lang="en-US" sz="1100" baseline="0"/>
            <a:t> ART eligibility: </a:t>
          </a:r>
        </a:p>
        <a:p>
          <a:r>
            <a:rPr lang="en-US" sz="1100" baseline="0"/>
            <a:t>Pre-2013: CD4 &lt;350</a:t>
          </a:r>
        </a:p>
        <a:p>
          <a:r>
            <a:rPr lang="en-US" sz="1100" baseline="0"/>
            <a:t>2013-2015: CD4 &lt;500</a:t>
          </a:r>
        </a:p>
        <a:p>
          <a:r>
            <a:rPr lang="en-US" sz="1100" baseline="0"/>
            <a:t>Post 2015: any CD4</a:t>
          </a:r>
        </a:p>
        <a:p>
          <a:endParaRPr lang="en-US" sz="1100"/>
        </a:p>
        <a:p>
          <a:r>
            <a:rPr lang="en-US" sz="1100"/>
            <a:t>Kenya</a:t>
          </a:r>
          <a:r>
            <a:rPr lang="en-US" sz="1100" baseline="0"/>
            <a:t> ART eligibility (national guideline first published in 2005): </a:t>
          </a:r>
        </a:p>
        <a:p>
          <a:r>
            <a:rPr lang="en-US" sz="1100" baseline="0"/>
            <a:t>2005-2007: CD4 &lt;200</a:t>
          </a:r>
        </a:p>
        <a:p>
          <a:r>
            <a:rPr lang="en-US" sz="1100" baseline="0"/>
            <a:t>2007-2011: CD4 &lt;250 </a:t>
          </a:r>
        </a:p>
        <a:p>
          <a:r>
            <a:rPr lang="en-US" sz="1100" baseline="0"/>
            <a:t>2011-2014: CD4 &lt;350</a:t>
          </a:r>
        </a:p>
        <a:p>
          <a:r>
            <a:rPr lang="en-US" sz="1100" baseline="0"/>
            <a:t>2014-2016: CD4 &lt;500</a:t>
          </a:r>
        </a:p>
        <a:p>
          <a:r>
            <a:rPr lang="en-US" sz="1100" baseline="0"/>
            <a:t>Post 2016: any CD4</a:t>
          </a:r>
          <a:endParaRPr lang="en-US" sz="1100"/>
        </a:p>
      </xdr:txBody>
    </xdr:sp>
    <xdr:clientData/>
  </xdr:twoCellAnchor>
  <xdr:twoCellAnchor editAs="oneCell">
    <xdr:from>
      <xdr:col>9</xdr:col>
      <xdr:colOff>295275</xdr:colOff>
      <xdr:row>14</xdr:row>
      <xdr:rowOff>57151</xdr:rowOff>
    </xdr:from>
    <xdr:to>
      <xdr:col>17</xdr:col>
      <xdr:colOff>495300</xdr:colOff>
      <xdr:row>29</xdr:row>
      <xdr:rowOff>180046</xdr:rowOff>
    </xdr:to>
    <xdr:pic>
      <xdr:nvPicPr>
        <xdr:cNvPr id="4" name="Picture 3" descr="Baseline estimates of coverage of 90-90-90 targets in Nyanza region, Kenya AIDS Indicator Survey, 2012–201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53175" y="2724151"/>
          <a:ext cx="5076825" cy="2980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514350</xdr:colOff>
      <xdr:row>113</xdr:row>
      <xdr:rowOff>114300</xdr:rowOff>
    </xdr:from>
    <xdr:to>
      <xdr:col>13</xdr:col>
      <xdr:colOff>66675</xdr:colOff>
      <xdr:row>125</xdr:row>
      <xdr:rowOff>101029</xdr:rowOff>
    </xdr:to>
    <xdr:pic>
      <xdr:nvPicPr>
        <xdr:cNvPr id="5" name="Picture 4"/>
        <xdr:cNvPicPr>
          <a:picLocks noChangeAspect="1"/>
        </xdr:cNvPicPr>
      </xdr:nvPicPr>
      <xdr:blipFill>
        <a:blip xmlns:r="http://schemas.openxmlformats.org/officeDocument/2006/relationships" r:embed="rId3"/>
        <a:stretch>
          <a:fillRect/>
        </a:stretch>
      </xdr:blipFill>
      <xdr:spPr>
        <a:xfrm>
          <a:off x="4743450" y="19354800"/>
          <a:ext cx="3819525" cy="2272729"/>
        </a:xfrm>
        <a:prstGeom prst="rect">
          <a:avLst/>
        </a:prstGeom>
      </xdr:spPr>
    </xdr:pic>
    <xdr:clientData/>
  </xdr:twoCellAnchor>
  <xdr:twoCellAnchor editAs="oneCell">
    <xdr:from>
      <xdr:col>1</xdr:col>
      <xdr:colOff>1584</xdr:colOff>
      <xdr:row>139</xdr:row>
      <xdr:rowOff>9526</xdr:rowOff>
    </xdr:from>
    <xdr:to>
      <xdr:col>16</xdr:col>
      <xdr:colOff>95207</xdr:colOff>
      <xdr:row>150</xdr:row>
      <xdr:rowOff>47626</xdr:rowOff>
    </xdr:to>
    <xdr:pic>
      <xdr:nvPicPr>
        <xdr:cNvPr id="6" name="Picture 5" descr="https://www.dovepress.com/cr_data/article_fulltext/s153000/153185/img/hiv-153185_T003.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1184" y="26489026"/>
          <a:ext cx="9875798" cy="213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158</xdr:row>
      <xdr:rowOff>0</xdr:rowOff>
    </xdr:from>
    <xdr:to>
      <xdr:col>1</xdr:col>
      <xdr:colOff>304800</xdr:colOff>
      <xdr:row>159</xdr:row>
      <xdr:rowOff>114300</xdr:rowOff>
    </xdr:to>
    <xdr:sp macro="" textlink="">
      <xdr:nvSpPr>
        <xdr:cNvPr id="9219" name="AutoShape 3" descr="https://images.journals.lww.com/aidsonline/Original.00002030-201207310-00012.F3-12.jpeg"/>
        <xdr:cNvSpPr>
          <a:spLocks noChangeAspect="1" noChangeArrowheads="1"/>
        </xdr:cNvSpPr>
      </xdr:nvSpPr>
      <xdr:spPr bwMode="auto">
        <a:xfrm>
          <a:off x="609600" y="3009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158</xdr:row>
      <xdr:rowOff>0</xdr:rowOff>
    </xdr:from>
    <xdr:to>
      <xdr:col>8</xdr:col>
      <xdr:colOff>146916</xdr:colOff>
      <xdr:row>185</xdr:row>
      <xdr:rowOff>66675</xdr:rowOff>
    </xdr:to>
    <xdr:pic>
      <xdr:nvPicPr>
        <xdr:cNvPr id="7" name="Picture 6"/>
        <xdr:cNvPicPr>
          <a:picLocks noChangeAspect="1"/>
        </xdr:cNvPicPr>
      </xdr:nvPicPr>
      <xdr:blipFill>
        <a:blip xmlns:r="http://schemas.openxmlformats.org/officeDocument/2006/relationships" r:embed="rId5"/>
        <a:stretch>
          <a:fillRect/>
        </a:stretch>
      </xdr:blipFill>
      <xdr:spPr>
        <a:xfrm>
          <a:off x="609600" y="30099000"/>
          <a:ext cx="5052291" cy="5210175"/>
        </a:xfrm>
        <a:prstGeom prst="rect">
          <a:avLst/>
        </a:prstGeom>
      </xdr:spPr>
    </xdr:pic>
    <xdr:clientData/>
  </xdr:twoCellAnchor>
  <xdr:twoCellAnchor>
    <xdr:from>
      <xdr:col>9</xdr:col>
      <xdr:colOff>114300</xdr:colOff>
      <xdr:row>159</xdr:row>
      <xdr:rowOff>38100</xdr:rowOff>
    </xdr:from>
    <xdr:to>
      <xdr:col>14</xdr:col>
      <xdr:colOff>590550</xdr:colOff>
      <xdr:row>176</xdr:row>
      <xdr:rowOff>104775</xdr:rowOff>
    </xdr:to>
    <xdr:sp macro="" textlink="">
      <xdr:nvSpPr>
        <xdr:cNvPr id="8" name="TextBox 7"/>
        <xdr:cNvSpPr txBox="1"/>
      </xdr:nvSpPr>
      <xdr:spPr>
        <a:xfrm>
          <a:off x="6172200" y="30327600"/>
          <a:ext cx="3524250" cy="3305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Population cause-specific mortality rates and 95% confidence intervals (lines, y-axis on left), and estimated proportion of HIV-positive patients in care and receiving ART (stacked bars,y-axis on right), by year.Estimates are based on the mid-year adult (age 18–64) population of Health and Demographic Surveillance System (HDSS), Nyanza Province, Kenya and HIV clinic patients active at mid-year within the HDSS areas (details of calculations in text and Supplemental Digital Content 1,   </a:t>
          </a:r>
          <a:r>
            <a:rPr lang="en-US" sz="1100" b="0" i="0" u="none" strike="noStrike">
              <a:solidFill>
                <a:schemeClr val="dk1"/>
              </a:solidFill>
              <a:effectLst/>
              <a:latin typeface="+mn-lt"/>
              <a:ea typeface="+mn-ea"/>
              <a:cs typeface="+mn-cs"/>
              <a:hlinkClick xmlns:r="http://schemas.openxmlformats.org/officeDocument/2006/relationships" r:id=""/>
            </a:rPr>
            <a:t>http://links.lww.com/QAD/A216</a:t>
          </a:r>
          <a:r>
            <a:rPr lang="en-US" sz="1100" b="0" i="0">
              <a:solidFill>
                <a:schemeClr val="dk1"/>
              </a:solidFill>
              <a:effectLst/>
              <a:latin typeface="+mn-lt"/>
              <a:ea typeface="+mn-ea"/>
              <a:cs typeface="+mn-cs"/>
            </a:rPr>
            <a:t>).</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8</xdr:col>
      <xdr:colOff>38100</xdr:colOff>
      <xdr:row>3</xdr:row>
      <xdr:rowOff>180975</xdr:rowOff>
    </xdr:from>
    <xdr:to>
      <xdr:col>18</xdr:col>
      <xdr:colOff>476250</xdr:colOff>
      <xdr:row>21</xdr:row>
      <xdr:rowOff>28575</xdr:rowOff>
    </xdr:to>
    <xdr:pic>
      <xdr:nvPicPr>
        <xdr:cNvPr id="2" name="Picture 1" descr="An external file that holds a picture, illustration, etc.&#10;Object name is peerj-06-4427-g002.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91325" y="752475"/>
          <a:ext cx="6534150" cy="327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19050</xdr:colOff>
      <xdr:row>3</xdr:row>
      <xdr:rowOff>133351</xdr:rowOff>
    </xdr:from>
    <xdr:to>
      <xdr:col>19</xdr:col>
      <xdr:colOff>561975</xdr:colOff>
      <xdr:row>30</xdr:row>
      <xdr:rowOff>43143</xdr:rowOff>
    </xdr:to>
    <xdr:pic>
      <xdr:nvPicPr>
        <xdr:cNvPr id="4" name="Picture 3"/>
        <xdr:cNvPicPr>
          <a:picLocks noChangeAspect="1"/>
        </xdr:cNvPicPr>
      </xdr:nvPicPr>
      <xdr:blipFill>
        <a:blip xmlns:r="http://schemas.openxmlformats.org/officeDocument/2006/relationships" r:embed="rId1"/>
        <a:stretch>
          <a:fillRect/>
        </a:stretch>
      </xdr:blipFill>
      <xdr:spPr>
        <a:xfrm>
          <a:off x="8553450" y="704851"/>
          <a:ext cx="3590925" cy="5053292"/>
        </a:xfrm>
        <a:prstGeom prst="rect">
          <a:avLst/>
        </a:prstGeom>
      </xdr:spPr>
    </xdr:pic>
    <xdr:clientData/>
  </xdr:twoCellAnchor>
  <xdr:twoCellAnchor editAs="oneCell">
    <xdr:from>
      <xdr:col>13</xdr:col>
      <xdr:colOff>38100</xdr:colOff>
      <xdr:row>31</xdr:row>
      <xdr:rowOff>95250</xdr:rowOff>
    </xdr:from>
    <xdr:to>
      <xdr:col>20</xdr:col>
      <xdr:colOff>477593</xdr:colOff>
      <xdr:row>46</xdr:row>
      <xdr:rowOff>66675</xdr:rowOff>
    </xdr:to>
    <xdr:pic>
      <xdr:nvPicPr>
        <xdr:cNvPr id="8" name="Picture 7"/>
        <xdr:cNvPicPr>
          <a:picLocks noChangeAspect="1"/>
        </xdr:cNvPicPr>
      </xdr:nvPicPr>
      <xdr:blipFill>
        <a:blip xmlns:r="http://schemas.openxmlformats.org/officeDocument/2006/relationships" r:embed="rId2"/>
        <a:stretch>
          <a:fillRect/>
        </a:stretch>
      </xdr:blipFill>
      <xdr:spPr>
        <a:xfrm>
          <a:off x="7962900" y="6000750"/>
          <a:ext cx="4706693" cy="2828925"/>
        </a:xfrm>
        <a:prstGeom prst="rect">
          <a:avLst/>
        </a:prstGeom>
      </xdr:spPr>
    </xdr:pic>
    <xdr:clientData/>
  </xdr:twoCellAnchor>
  <xdr:twoCellAnchor editAs="oneCell">
    <xdr:from>
      <xdr:col>0</xdr:col>
      <xdr:colOff>571500</xdr:colOff>
      <xdr:row>154</xdr:row>
      <xdr:rowOff>171450</xdr:rowOff>
    </xdr:from>
    <xdr:to>
      <xdr:col>1</xdr:col>
      <xdr:colOff>107950</xdr:colOff>
      <xdr:row>155</xdr:row>
      <xdr:rowOff>158750</xdr:rowOff>
    </xdr:to>
    <xdr:pic>
      <xdr:nvPicPr>
        <xdr:cNvPr id="5" name="Picture 4">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71500" y="29508450"/>
          <a:ext cx="1460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552450</xdr:colOff>
      <xdr:row>154</xdr:row>
      <xdr:rowOff>180975</xdr:rowOff>
    </xdr:from>
    <xdr:to>
      <xdr:col>2</xdr:col>
      <xdr:colOff>76200</xdr:colOff>
      <xdr:row>155</xdr:row>
      <xdr:rowOff>168275</xdr:rowOff>
    </xdr:to>
    <xdr:pic>
      <xdr:nvPicPr>
        <xdr:cNvPr id="6" name="Picture 5">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162050" y="29517975"/>
          <a:ext cx="1333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221</xdr:row>
      <xdr:rowOff>0</xdr:rowOff>
    </xdr:from>
    <xdr:to>
      <xdr:col>5</xdr:col>
      <xdr:colOff>304800</xdr:colOff>
      <xdr:row>222</xdr:row>
      <xdr:rowOff>114300</xdr:rowOff>
    </xdr:to>
    <xdr:sp macro="" textlink="">
      <xdr:nvSpPr>
        <xdr:cNvPr id="2049" name="AutoShape 1" descr="https://images.journals.lww.com/aidsonline/Original.00002030-200108004-00006.T2-6.jpeg"/>
        <xdr:cNvSpPr>
          <a:spLocks noChangeAspect="1" noChangeArrowheads="1"/>
        </xdr:cNvSpPr>
      </xdr:nvSpPr>
      <xdr:spPr bwMode="auto">
        <a:xfrm>
          <a:off x="3048000" y="4152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28574</xdr:colOff>
      <xdr:row>223</xdr:row>
      <xdr:rowOff>9526</xdr:rowOff>
    </xdr:from>
    <xdr:to>
      <xdr:col>9</xdr:col>
      <xdr:colOff>533322</xdr:colOff>
      <xdr:row>235</xdr:row>
      <xdr:rowOff>161925</xdr:rowOff>
    </xdr:to>
    <xdr:pic>
      <xdr:nvPicPr>
        <xdr:cNvPr id="2" name="Picture 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38174" y="42491026"/>
          <a:ext cx="5676823" cy="2438399"/>
        </a:xfrm>
        <a:prstGeom prst="rect">
          <a:avLst/>
        </a:prstGeom>
      </xdr:spPr>
    </xdr:pic>
    <xdr:clientData/>
  </xdr:twoCellAnchor>
  <xdr:twoCellAnchor editAs="oneCell">
    <xdr:from>
      <xdr:col>1</xdr:col>
      <xdr:colOff>19051</xdr:colOff>
      <xdr:row>238</xdr:row>
      <xdr:rowOff>19050</xdr:rowOff>
    </xdr:from>
    <xdr:to>
      <xdr:col>12</xdr:col>
      <xdr:colOff>257176</xdr:colOff>
      <xdr:row>251</xdr:row>
      <xdr:rowOff>27223</xdr:rowOff>
    </xdr:to>
    <xdr:pic>
      <xdr:nvPicPr>
        <xdr:cNvPr id="3" name="Picture 2"/>
        <xdr:cNvPicPr>
          <a:picLocks noChangeAspect="1"/>
        </xdr:cNvPicPr>
      </xdr:nvPicPr>
      <xdr:blipFill>
        <a:blip xmlns:r="http://schemas.openxmlformats.org/officeDocument/2006/relationships" r:embed="rId6"/>
        <a:stretch>
          <a:fillRect/>
        </a:stretch>
      </xdr:blipFill>
      <xdr:spPr>
        <a:xfrm>
          <a:off x="628651" y="45358050"/>
          <a:ext cx="7429500" cy="2484673"/>
        </a:xfrm>
        <a:prstGeom prst="rect">
          <a:avLst/>
        </a:prstGeom>
      </xdr:spPr>
    </xdr:pic>
    <xdr:clientData/>
  </xdr:twoCellAnchor>
  <xdr:twoCellAnchor>
    <xdr:from>
      <xdr:col>19</xdr:col>
      <xdr:colOff>295275</xdr:colOff>
      <xdr:row>44</xdr:row>
      <xdr:rowOff>142874</xdr:rowOff>
    </xdr:from>
    <xdr:to>
      <xdr:col>27</xdr:col>
      <xdr:colOff>476251</xdr:colOff>
      <xdr:row>63</xdr:row>
      <xdr:rowOff>114299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0</xdr:colOff>
      <xdr:row>50</xdr:row>
      <xdr:rowOff>28575</xdr:rowOff>
    </xdr:from>
    <xdr:to>
      <xdr:col>26</xdr:col>
      <xdr:colOff>361951</xdr:colOff>
      <xdr:row>69</xdr:row>
      <xdr:rowOff>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490537</xdr:colOff>
      <xdr:row>69</xdr:row>
      <xdr:rowOff>47624</xdr:rowOff>
    </xdr:from>
    <xdr:to>
      <xdr:col>34</xdr:col>
      <xdr:colOff>47625</xdr:colOff>
      <xdr:row>87</xdr:row>
      <xdr:rowOff>171449</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38100</xdr:colOff>
      <xdr:row>51</xdr:row>
      <xdr:rowOff>66675</xdr:rowOff>
    </xdr:from>
    <xdr:to>
      <xdr:col>34</xdr:col>
      <xdr:colOff>204788</xdr:colOff>
      <xdr:row>70</xdr:row>
      <xdr:rowOff>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266699</xdr:colOff>
      <xdr:row>163</xdr:row>
      <xdr:rowOff>104775</xdr:rowOff>
    </xdr:from>
    <xdr:to>
      <xdr:col>21</xdr:col>
      <xdr:colOff>600074</xdr:colOff>
      <xdr:row>180</xdr:row>
      <xdr:rowOff>76200</xdr:rowOff>
    </xdr:to>
    <xdr:sp macro="" textlink="">
      <xdr:nvSpPr>
        <xdr:cNvPr id="11" name="TextBox 10"/>
        <xdr:cNvSpPr txBox="1"/>
      </xdr:nvSpPr>
      <xdr:spPr>
        <a:xfrm>
          <a:off x="9410699" y="31156275"/>
          <a:ext cx="3990975" cy="3209925"/>
        </a:xfrm>
        <a:prstGeom prst="rect">
          <a:avLst/>
        </a:prstGeom>
        <a:ln w="28575">
          <a:solidFill>
            <a:schemeClr val="accent4"/>
          </a:solidFill>
          <a:prstDash val="sysDo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US" sz="1100"/>
            <a:t>In Partners</a:t>
          </a:r>
          <a:r>
            <a:rPr lang="en-US" sz="1100" baseline="0"/>
            <a:t> PrEP study, participants reported median of 4 (IQR 2-8) sex acts in the past month. Participants in that study were serodiscordant couples from Kenya and Uganda (a substudy in Thika reported the same median number of sex acts), aged 18-45+. Majority of participants were 25-44 years. Almost all were married, with between 8-9% of seronegative partners reporting sex outside of partnership. And median duration of cohabitation was 7 years. </a:t>
          </a:r>
        </a:p>
        <a:p>
          <a:r>
            <a:rPr lang="en-US" sz="1100" baseline="0"/>
            <a:t>Main study: </a:t>
          </a:r>
          <a:r>
            <a:rPr lang="en-US">
              <a:hlinkClick xmlns:r="http://schemas.openxmlformats.org/officeDocument/2006/relationships" r:id=""/>
            </a:rPr>
            <a:t>https://www.nejm.org/doi/full/10.1056/NEJMoa1108524</a:t>
          </a:r>
          <a:endParaRPr lang="en-US"/>
        </a:p>
        <a:p>
          <a:r>
            <a:rPr lang="en-US" sz="1100"/>
            <a:t>Substudy in Thika:</a:t>
          </a:r>
          <a:r>
            <a:rPr lang="en-US" sz="1100" baseline="0"/>
            <a:t> </a:t>
          </a:r>
          <a:r>
            <a:rPr lang="en-US">
              <a:hlinkClick xmlns:r="http://schemas.openxmlformats.org/officeDocument/2006/relationships" r:id=""/>
            </a:rPr>
            <a:t>https://link.springer.com/article/10.1007/s10461-014-0804-1</a:t>
          </a:r>
          <a:endParaRPr lang="en-US"/>
        </a:p>
        <a:p>
          <a:endParaRPr lang="en-US" sz="1100"/>
        </a:p>
        <a:p>
          <a:r>
            <a:rPr lang="en-US" sz="1100"/>
            <a:t>In</a:t>
          </a:r>
          <a:r>
            <a:rPr lang="en-US" sz="1100" baseline="0"/>
            <a:t> Partners Demostration project: median number of sex acts in the past month was 6 (IQR 3-11). Median age in this study was 30; 20% were &lt;25 years old. 8% of seronegative partner had sex outside of the relationship. Most were married, and median duration of cohabitation was 2.5 years. </a:t>
          </a:r>
        </a:p>
        <a:p>
          <a:endParaRPr lang="en-US" sz="1100" baseline="0"/>
        </a:p>
      </xdr:txBody>
    </xdr:sp>
    <xdr:clientData/>
  </xdr:twoCellAnchor>
  <xdr:twoCellAnchor editAs="oneCell">
    <xdr:from>
      <xdr:col>15</xdr:col>
      <xdr:colOff>371475</xdr:colOff>
      <xdr:row>183</xdr:row>
      <xdr:rowOff>57150</xdr:rowOff>
    </xdr:from>
    <xdr:to>
      <xdr:col>20</xdr:col>
      <xdr:colOff>114301</xdr:colOff>
      <xdr:row>192</xdr:row>
      <xdr:rowOff>9317</xdr:rowOff>
    </xdr:to>
    <xdr:pic>
      <xdr:nvPicPr>
        <xdr:cNvPr id="13" name="Picture 12"/>
        <xdr:cNvPicPr>
          <a:picLocks noChangeAspect="1"/>
        </xdr:cNvPicPr>
      </xdr:nvPicPr>
      <xdr:blipFill rotWithShape="1">
        <a:blip xmlns:r="http://schemas.openxmlformats.org/officeDocument/2006/relationships" r:embed="rId11"/>
        <a:srcRect r="52964"/>
        <a:stretch/>
      </xdr:blipFill>
      <xdr:spPr>
        <a:xfrm>
          <a:off x="9515475" y="34918650"/>
          <a:ext cx="2790826" cy="1666667"/>
        </a:xfrm>
        <a:prstGeom prst="rect">
          <a:avLst/>
        </a:prstGeom>
      </xdr:spPr>
    </xdr:pic>
    <xdr:clientData/>
  </xdr:twoCellAnchor>
  <xdr:twoCellAnchor>
    <xdr:from>
      <xdr:col>15</xdr:col>
      <xdr:colOff>285749</xdr:colOff>
      <xdr:row>180</xdr:row>
      <xdr:rowOff>152400</xdr:rowOff>
    </xdr:from>
    <xdr:to>
      <xdr:col>22</xdr:col>
      <xdr:colOff>238124</xdr:colOff>
      <xdr:row>183</xdr:row>
      <xdr:rowOff>47625</xdr:rowOff>
    </xdr:to>
    <xdr:sp macro="" textlink="">
      <xdr:nvSpPr>
        <xdr:cNvPr id="14" name="TextBox 13"/>
        <xdr:cNvSpPr txBox="1"/>
      </xdr:nvSpPr>
      <xdr:spPr>
        <a:xfrm>
          <a:off x="9429749" y="34442400"/>
          <a:ext cx="421957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a:t>
          </a:r>
          <a:r>
            <a:rPr lang="en-US" sz="1100" baseline="0"/>
            <a:t> a community-based study in Rakai, average age-specific frequency of sex in the past month is (3rd column):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466725</xdr:colOff>
      <xdr:row>27</xdr:row>
      <xdr:rowOff>0</xdr:rowOff>
    </xdr:from>
    <xdr:to>
      <xdr:col>19</xdr:col>
      <xdr:colOff>447675</xdr:colOff>
      <xdr:row>33</xdr:row>
      <xdr:rowOff>57150</xdr:rowOff>
    </xdr:to>
    <xdr:sp macro="" textlink="">
      <xdr:nvSpPr>
        <xdr:cNvPr id="3" name="TextBox 2"/>
        <xdr:cNvSpPr txBox="1"/>
      </xdr:nvSpPr>
      <xdr:spPr>
        <a:xfrm>
          <a:off x="8067675" y="5143500"/>
          <a:ext cx="4857750" cy="120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Akulian:</a:t>
          </a:r>
          <a:r>
            <a:rPr lang="en-US" sz="1100" b="0" i="0" u="none" strike="noStrike" baseline="0">
              <a:solidFill>
                <a:schemeClr val="dk1"/>
              </a:solidFill>
              <a:effectLst/>
              <a:latin typeface="+mn-lt"/>
              <a:ea typeface="+mn-ea"/>
              <a:cs typeface="+mn-cs"/>
            </a:rPr>
            <a:t> In 2014, </a:t>
          </a:r>
          <a:r>
            <a:rPr lang="en-US" sz="1100" b="0" i="0" u="none" strike="noStrike">
              <a:solidFill>
                <a:schemeClr val="dk1"/>
              </a:solidFill>
              <a:effectLst/>
              <a:latin typeface="+mn-lt"/>
              <a:ea typeface="+mn-ea"/>
              <a:cs typeface="+mn-cs"/>
            </a:rPr>
            <a:t>9.5% of circumcised 15-24 year olds reported that they were circumcised</a:t>
          </a:r>
          <a:r>
            <a:rPr lang="en-US" sz="1100" b="0" i="0" u="none" strike="noStrike" baseline="0">
              <a:solidFill>
                <a:schemeClr val="dk1"/>
              </a:solidFill>
              <a:effectLst/>
              <a:latin typeface="+mn-lt"/>
              <a:ea typeface="+mn-ea"/>
              <a:cs typeface="+mn-cs"/>
            </a:rPr>
            <a:t> before age 10. Also, </a:t>
          </a:r>
          <a:r>
            <a:rPr lang="en-US" sz="1100" b="0" i="0" u="none" strike="noStrike">
              <a:solidFill>
                <a:schemeClr val="dk1"/>
              </a:solidFill>
              <a:effectLst/>
              <a:latin typeface="+mn-lt"/>
              <a:ea typeface="+mn-ea"/>
              <a:cs typeface="+mn-cs"/>
            </a:rPr>
            <a:t>9.5% of circumcision in this age group was done at home or at a ritual site.</a:t>
          </a:r>
          <a:r>
            <a:rPr lang="en-US" sz="1100" b="0" i="0" u="none" strike="noStrike" baseline="0">
              <a:solidFill>
                <a:schemeClr val="dk1"/>
              </a:solidFill>
              <a:effectLst/>
              <a:latin typeface="+mn-lt"/>
              <a:ea typeface="+mn-ea"/>
              <a:cs typeface="+mn-cs"/>
            </a:rPr>
            <a:t> Among 25-50 year old men, 15.5% reported being circumcised between age 0-9 and 18.3% circumcised between 10-14. 20% reported being circumcised at a ritual site or at home and 6.7% at other non-medical settings. </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9525</xdr:colOff>
      <xdr:row>1</xdr:row>
      <xdr:rowOff>104775</xdr:rowOff>
    </xdr:from>
    <xdr:to>
      <xdr:col>13</xdr:col>
      <xdr:colOff>314325</xdr:colOff>
      <xdr:row>13</xdr:row>
      <xdr:rowOff>55532</xdr:rowOff>
    </xdr:to>
    <xdr:pic>
      <xdr:nvPicPr>
        <xdr:cNvPr id="2" name="Picture 1"/>
        <xdr:cNvPicPr>
          <a:picLocks noChangeAspect="1"/>
        </xdr:cNvPicPr>
      </xdr:nvPicPr>
      <xdr:blipFill>
        <a:blip xmlns:r="http://schemas.openxmlformats.org/officeDocument/2006/relationships" r:embed="rId1"/>
        <a:stretch>
          <a:fillRect/>
        </a:stretch>
      </xdr:blipFill>
      <xdr:spPr>
        <a:xfrm>
          <a:off x="4276725" y="295275"/>
          <a:ext cx="3962400" cy="2236757"/>
        </a:xfrm>
        <a:prstGeom prst="rect">
          <a:avLst/>
        </a:prstGeom>
      </xdr:spPr>
    </xdr:pic>
    <xdr:clientData/>
  </xdr:twoCellAnchor>
  <xdr:twoCellAnchor editAs="oneCell">
    <xdr:from>
      <xdr:col>14</xdr:col>
      <xdr:colOff>66675</xdr:colOff>
      <xdr:row>0</xdr:row>
      <xdr:rowOff>95250</xdr:rowOff>
    </xdr:from>
    <xdr:to>
      <xdr:col>22</xdr:col>
      <xdr:colOff>276958</xdr:colOff>
      <xdr:row>16</xdr:row>
      <xdr:rowOff>47625</xdr:rowOff>
    </xdr:to>
    <xdr:pic>
      <xdr:nvPicPr>
        <xdr:cNvPr id="3" name="Picture 2"/>
        <xdr:cNvPicPr>
          <a:picLocks noChangeAspect="1"/>
        </xdr:cNvPicPr>
      </xdr:nvPicPr>
      <xdr:blipFill rotWithShape="1">
        <a:blip xmlns:r="http://schemas.openxmlformats.org/officeDocument/2006/relationships" r:embed="rId2"/>
        <a:srcRect l="4642"/>
        <a:stretch/>
      </xdr:blipFill>
      <xdr:spPr>
        <a:xfrm>
          <a:off x="8601075" y="95250"/>
          <a:ext cx="5087083" cy="3000375"/>
        </a:xfrm>
        <a:prstGeom prst="rect">
          <a:avLst/>
        </a:prstGeom>
      </xdr:spPr>
    </xdr:pic>
    <xdr:clientData/>
  </xdr:twoCellAnchor>
  <xdr:twoCellAnchor>
    <xdr:from>
      <xdr:col>8</xdr:col>
      <xdr:colOff>328612</xdr:colOff>
      <xdr:row>101</xdr:row>
      <xdr:rowOff>142874</xdr:rowOff>
    </xdr:from>
    <xdr:to>
      <xdr:col>18</xdr:col>
      <xdr:colOff>438150</xdr:colOff>
      <xdr:row>120</xdr:row>
      <xdr:rowOff>95249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547687</xdr:colOff>
      <xdr:row>101</xdr:row>
      <xdr:rowOff>171449</xdr:rowOff>
    </xdr:from>
    <xdr:to>
      <xdr:col>28</xdr:col>
      <xdr:colOff>66675</xdr:colOff>
      <xdr:row>119</xdr:row>
      <xdr:rowOff>57150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122</xdr:row>
      <xdr:rowOff>9525</xdr:rowOff>
    </xdr:from>
    <xdr:to>
      <xdr:col>7</xdr:col>
      <xdr:colOff>304800</xdr:colOff>
      <xdr:row>136</xdr:row>
      <xdr:rowOff>85725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138112</xdr:colOff>
      <xdr:row>110</xdr:row>
      <xdr:rowOff>28575</xdr:rowOff>
    </xdr:from>
    <xdr:to>
      <xdr:col>26</xdr:col>
      <xdr:colOff>442912</xdr:colOff>
      <xdr:row>124</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138112</xdr:colOff>
      <xdr:row>58</xdr:row>
      <xdr:rowOff>171450</xdr:rowOff>
    </xdr:from>
    <xdr:to>
      <xdr:col>20</xdr:col>
      <xdr:colOff>442912</xdr:colOff>
      <xdr:row>73</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190500</xdr:colOff>
      <xdr:row>74</xdr:row>
      <xdr:rowOff>38100</xdr:rowOff>
    </xdr:from>
    <xdr:to>
      <xdr:col>20</xdr:col>
      <xdr:colOff>495300</xdr:colOff>
      <xdr:row>88</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198727</xdr:colOff>
      <xdr:row>168</xdr:row>
      <xdr:rowOff>133351</xdr:rowOff>
    </xdr:from>
    <xdr:to>
      <xdr:col>19</xdr:col>
      <xdr:colOff>104775</xdr:colOff>
      <xdr:row>192</xdr:row>
      <xdr:rowOff>38101</xdr:rowOff>
    </xdr:to>
    <xdr:pic>
      <xdr:nvPicPr>
        <xdr:cNvPr id="2" name="Picture 1" descr="An external file that holds a picture, illustration, etc.&#10;Object name is 12879_2019_3982_Fig1_HTML.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28077" y="32137351"/>
          <a:ext cx="6002048" cy="447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104775</xdr:colOff>
      <xdr:row>3</xdr:row>
      <xdr:rowOff>28575</xdr:rowOff>
    </xdr:from>
    <xdr:to>
      <xdr:col>18</xdr:col>
      <xdr:colOff>123825</xdr:colOff>
      <xdr:row>28</xdr:row>
      <xdr:rowOff>28575</xdr:rowOff>
    </xdr:to>
    <xdr:pic>
      <xdr:nvPicPr>
        <xdr:cNvPr id="2" name="Picture 1" descr="imag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9975" y="600075"/>
          <a:ext cx="3676650" cy="476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41583</xdr:colOff>
      <xdr:row>13</xdr:row>
      <xdr:rowOff>19050</xdr:rowOff>
    </xdr:from>
    <xdr:to>
      <xdr:col>16</xdr:col>
      <xdr:colOff>389469</xdr:colOff>
      <xdr:row>29</xdr:row>
      <xdr:rowOff>85725</xdr:rowOff>
    </xdr:to>
    <xdr:pic>
      <xdr:nvPicPr>
        <xdr:cNvPr id="2" name="Picture 1"/>
        <xdr:cNvPicPr>
          <a:picLocks noChangeAspect="1"/>
        </xdr:cNvPicPr>
      </xdr:nvPicPr>
      <xdr:blipFill>
        <a:blip xmlns:r="http://schemas.openxmlformats.org/officeDocument/2006/relationships" r:embed="rId1"/>
        <a:stretch>
          <a:fillRect/>
        </a:stretch>
      </xdr:blipFill>
      <xdr:spPr>
        <a:xfrm>
          <a:off x="5594658" y="2495550"/>
          <a:ext cx="4615086" cy="3114675"/>
        </a:xfrm>
        <a:prstGeom prst="rect">
          <a:avLst/>
        </a:prstGeom>
      </xdr:spPr>
    </xdr:pic>
    <xdr:clientData/>
  </xdr:twoCellAnchor>
  <xdr:twoCellAnchor editAs="oneCell">
    <xdr:from>
      <xdr:col>15</xdr:col>
      <xdr:colOff>161926</xdr:colOff>
      <xdr:row>13</xdr:row>
      <xdr:rowOff>47627</xdr:rowOff>
    </xdr:from>
    <xdr:to>
      <xdr:col>22</xdr:col>
      <xdr:colOff>438150</xdr:colOff>
      <xdr:row>30</xdr:row>
      <xdr:rowOff>179891</xdr:rowOff>
    </xdr:to>
    <xdr:pic>
      <xdr:nvPicPr>
        <xdr:cNvPr id="3" name="Picture 2"/>
        <xdr:cNvPicPr>
          <a:picLocks noChangeAspect="1"/>
        </xdr:cNvPicPr>
      </xdr:nvPicPr>
      <xdr:blipFill>
        <a:blip xmlns:r="http://schemas.openxmlformats.org/officeDocument/2006/relationships" r:embed="rId2"/>
        <a:stretch>
          <a:fillRect/>
        </a:stretch>
      </xdr:blipFill>
      <xdr:spPr>
        <a:xfrm>
          <a:off x="9372601" y="2524127"/>
          <a:ext cx="4543424" cy="3370764"/>
        </a:xfrm>
        <a:prstGeom prst="rect">
          <a:avLst/>
        </a:prstGeom>
      </xdr:spPr>
    </xdr:pic>
    <xdr:clientData/>
  </xdr:twoCellAnchor>
  <xdr:twoCellAnchor editAs="oneCell">
    <xdr:from>
      <xdr:col>20</xdr:col>
      <xdr:colOff>533399</xdr:colOff>
      <xdr:row>13</xdr:row>
      <xdr:rowOff>152400</xdr:rowOff>
    </xdr:from>
    <xdr:to>
      <xdr:col>28</xdr:col>
      <xdr:colOff>218048</xdr:colOff>
      <xdr:row>31</xdr:row>
      <xdr:rowOff>38124</xdr:rowOff>
    </xdr:to>
    <xdr:pic>
      <xdr:nvPicPr>
        <xdr:cNvPr id="4" name="Picture 3"/>
        <xdr:cNvPicPr>
          <a:picLocks noChangeAspect="1"/>
        </xdr:cNvPicPr>
      </xdr:nvPicPr>
      <xdr:blipFill>
        <a:blip xmlns:r="http://schemas.openxmlformats.org/officeDocument/2006/relationships" r:embed="rId3"/>
        <a:stretch>
          <a:fillRect/>
        </a:stretch>
      </xdr:blipFill>
      <xdr:spPr>
        <a:xfrm>
          <a:off x="12792074" y="2628900"/>
          <a:ext cx="4561449" cy="3333774"/>
        </a:xfrm>
        <a:prstGeom prst="rect">
          <a:avLst/>
        </a:prstGeom>
      </xdr:spPr>
    </xdr:pic>
    <xdr:clientData/>
  </xdr:twoCellAnchor>
  <xdr:twoCellAnchor>
    <xdr:from>
      <xdr:col>7</xdr:col>
      <xdr:colOff>504825</xdr:colOff>
      <xdr:row>75</xdr:row>
      <xdr:rowOff>161925</xdr:rowOff>
    </xdr:from>
    <xdr:to>
      <xdr:col>16</xdr:col>
      <xdr:colOff>342900</xdr:colOff>
      <xdr:row>97</xdr:row>
      <xdr:rowOff>171450</xdr:rowOff>
    </xdr:to>
    <xdr:grpSp>
      <xdr:nvGrpSpPr>
        <xdr:cNvPr id="7" name="Group 6"/>
        <xdr:cNvGrpSpPr/>
      </xdr:nvGrpSpPr>
      <xdr:grpSpPr>
        <a:xfrm>
          <a:off x="4772025" y="14487525"/>
          <a:ext cx="5391150" cy="4200525"/>
          <a:chOff x="6115050" y="11201400"/>
          <a:chExt cx="7561905" cy="5780952"/>
        </a:xfrm>
      </xdr:grpSpPr>
      <xdr:pic>
        <xdr:nvPicPr>
          <xdr:cNvPr id="5" name="Picture 4"/>
          <xdr:cNvPicPr>
            <a:picLocks noChangeAspect="1"/>
          </xdr:cNvPicPr>
        </xdr:nvPicPr>
        <xdr:blipFill>
          <a:blip xmlns:r="http://schemas.openxmlformats.org/officeDocument/2006/relationships" r:embed="rId4"/>
          <a:stretch>
            <a:fillRect/>
          </a:stretch>
        </xdr:blipFill>
        <xdr:spPr>
          <a:xfrm>
            <a:off x="6115050" y="11201400"/>
            <a:ext cx="7561905" cy="5780952"/>
          </a:xfrm>
          <a:prstGeom prst="rect">
            <a:avLst/>
          </a:prstGeom>
        </xdr:spPr>
      </xdr:pic>
      <xdr:sp macro="" textlink="">
        <xdr:nvSpPr>
          <xdr:cNvPr id="6" name="TextBox 5"/>
          <xdr:cNvSpPr txBox="1"/>
        </xdr:nvSpPr>
        <xdr:spPr>
          <a:xfrm>
            <a:off x="9467852" y="11429998"/>
            <a:ext cx="3126923" cy="2564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HIV Estimates</a:t>
            </a:r>
            <a:r>
              <a:rPr lang="en-US" sz="900" baseline="0"/>
              <a:t> Report 2014 (Spectrum)</a:t>
            </a:r>
            <a:endParaRPr lang="en-US" sz="900"/>
          </a:p>
        </xdr:txBody>
      </xdr:sp>
    </xdr:grpSp>
    <xdr:clientData/>
  </xdr:twoCellAnchor>
  <xdr:twoCellAnchor editAs="oneCell">
    <xdr:from>
      <xdr:col>7</xdr:col>
      <xdr:colOff>161925</xdr:colOff>
      <xdr:row>106</xdr:row>
      <xdr:rowOff>180975</xdr:rowOff>
    </xdr:from>
    <xdr:to>
      <xdr:col>17</xdr:col>
      <xdr:colOff>542925</xdr:colOff>
      <xdr:row>130</xdr:row>
      <xdr:rowOff>41304</xdr:rowOff>
    </xdr:to>
    <xdr:pic>
      <xdr:nvPicPr>
        <xdr:cNvPr id="8" name="Picture 7"/>
        <xdr:cNvPicPr>
          <a:picLocks noChangeAspect="1"/>
        </xdr:cNvPicPr>
      </xdr:nvPicPr>
      <xdr:blipFill>
        <a:blip xmlns:r="http://schemas.openxmlformats.org/officeDocument/2006/relationships" r:embed="rId5"/>
        <a:stretch>
          <a:fillRect/>
        </a:stretch>
      </xdr:blipFill>
      <xdr:spPr>
        <a:xfrm>
          <a:off x="4429125" y="20412075"/>
          <a:ext cx="6543675" cy="4432329"/>
        </a:xfrm>
        <a:prstGeom prst="rect">
          <a:avLst/>
        </a:prstGeom>
      </xdr:spPr>
    </xdr:pic>
    <xdr:clientData/>
  </xdr:twoCellAnchor>
  <xdr:twoCellAnchor editAs="oneCell">
    <xdr:from>
      <xdr:col>12</xdr:col>
      <xdr:colOff>295275</xdr:colOff>
      <xdr:row>163</xdr:row>
      <xdr:rowOff>132526</xdr:rowOff>
    </xdr:from>
    <xdr:to>
      <xdr:col>20</xdr:col>
      <xdr:colOff>466009</xdr:colOff>
      <xdr:row>177</xdr:row>
      <xdr:rowOff>18688</xdr:rowOff>
    </xdr:to>
    <xdr:pic>
      <xdr:nvPicPr>
        <xdr:cNvPr id="12" name="Picture 11"/>
        <xdr:cNvPicPr>
          <a:picLocks noChangeAspect="1"/>
        </xdr:cNvPicPr>
      </xdr:nvPicPr>
      <xdr:blipFill>
        <a:blip xmlns:r="http://schemas.openxmlformats.org/officeDocument/2006/relationships" r:embed="rId6"/>
        <a:stretch>
          <a:fillRect/>
        </a:stretch>
      </xdr:blipFill>
      <xdr:spPr>
        <a:xfrm>
          <a:off x="7677150" y="30079126"/>
          <a:ext cx="5047534" cy="2553162"/>
        </a:xfrm>
        <a:prstGeom prst="rect">
          <a:avLst/>
        </a:prstGeom>
      </xdr:spPr>
    </xdr:pic>
    <xdr:clientData/>
  </xdr:twoCellAnchor>
  <xdr:twoCellAnchor editAs="oneCell">
    <xdr:from>
      <xdr:col>8</xdr:col>
      <xdr:colOff>438150</xdr:colOff>
      <xdr:row>177</xdr:row>
      <xdr:rowOff>84901</xdr:rowOff>
    </xdr:from>
    <xdr:to>
      <xdr:col>19</xdr:col>
      <xdr:colOff>370637</xdr:colOff>
      <xdr:row>179</xdr:row>
      <xdr:rowOff>132472</xdr:rowOff>
    </xdr:to>
    <xdr:pic>
      <xdr:nvPicPr>
        <xdr:cNvPr id="13" name="Picture 12"/>
        <xdr:cNvPicPr>
          <a:picLocks noChangeAspect="1"/>
        </xdr:cNvPicPr>
      </xdr:nvPicPr>
      <xdr:blipFill>
        <a:blip xmlns:r="http://schemas.openxmlformats.org/officeDocument/2006/relationships" r:embed="rId7"/>
        <a:stretch>
          <a:fillRect/>
        </a:stretch>
      </xdr:blipFill>
      <xdr:spPr>
        <a:xfrm>
          <a:off x="5314950" y="32698501"/>
          <a:ext cx="6704762" cy="428571"/>
        </a:xfrm>
        <a:prstGeom prst="rect">
          <a:avLst/>
        </a:prstGeom>
      </xdr:spPr>
    </xdr:pic>
    <xdr:clientData/>
  </xdr:twoCellAnchor>
  <xdr:twoCellAnchor>
    <xdr:from>
      <xdr:col>11</xdr:col>
      <xdr:colOff>604836</xdr:colOff>
      <xdr:row>120</xdr:row>
      <xdr:rowOff>133350</xdr:rowOff>
    </xdr:from>
    <xdr:to>
      <xdr:col>20</xdr:col>
      <xdr:colOff>552449</xdr:colOff>
      <xdr:row>140</xdr:row>
      <xdr:rowOff>114300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371475</xdr:colOff>
      <xdr:row>182</xdr:row>
      <xdr:rowOff>0</xdr:rowOff>
    </xdr:from>
    <xdr:to>
      <xdr:col>25</xdr:col>
      <xdr:colOff>66675</xdr:colOff>
      <xdr:row>196</xdr:row>
      <xdr:rowOff>76200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13</xdr:col>
      <xdr:colOff>504825</xdr:colOff>
      <xdr:row>20</xdr:row>
      <xdr:rowOff>57151</xdr:rowOff>
    </xdr:from>
    <xdr:to>
      <xdr:col>23</xdr:col>
      <xdr:colOff>383114</xdr:colOff>
      <xdr:row>34</xdr:row>
      <xdr:rowOff>171451</xdr:rowOff>
    </xdr:to>
    <xdr:pic>
      <xdr:nvPicPr>
        <xdr:cNvPr id="11" name="Picture 10"/>
        <xdr:cNvPicPr>
          <a:picLocks noChangeAspect="1"/>
        </xdr:cNvPicPr>
      </xdr:nvPicPr>
      <xdr:blipFill>
        <a:blip xmlns:r="http://schemas.openxmlformats.org/officeDocument/2006/relationships" r:embed="rId10"/>
        <a:stretch>
          <a:fillRect/>
        </a:stretch>
      </xdr:blipFill>
      <xdr:spPr>
        <a:xfrm>
          <a:off x="8496300" y="3867151"/>
          <a:ext cx="5974289" cy="2819400"/>
        </a:xfrm>
        <a:prstGeom prst="rect">
          <a:avLst/>
        </a:prstGeom>
      </xdr:spPr>
    </xdr:pic>
    <xdr:clientData/>
  </xdr:twoCellAnchor>
  <xdr:twoCellAnchor editAs="oneCell">
    <xdr:from>
      <xdr:col>17</xdr:col>
      <xdr:colOff>285750</xdr:colOff>
      <xdr:row>30</xdr:row>
      <xdr:rowOff>9526</xdr:rowOff>
    </xdr:from>
    <xdr:to>
      <xdr:col>27</xdr:col>
      <xdr:colOff>412806</xdr:colOff>
      <xdr:row>45</xdr:row>
      <xdr:rowOff>85725</xdr:rowOff>
    </xdr:to>
    <xdr:pic>
      <xdr:nvPicPr>
        <xdr:cNvPr id="14" name="Picture 13"/>
        <xdr:cNvPicPr>
          <a:picLocks noChangeAspect="1"/>
        </xdr:cNvPicPr>
      </xdr:nvPicPr>
      <xdr:blipFill>
        <a:blip xmlns:r="http://schemas.openxmlformats.org/officeDocument/2006/relationships" r:embed="rId11"/>
        <a:stretch>
          <a:fillRect/>
        </a:stretch>
      </xdr:blipFill>
      <xdr:spPr>
        <a:xfrm>
          <a:off x="10715625" y="5724526"/>
          <a:ext cx="6223056" cy="297179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364021</xdr:colOff>
      <xdr:row>45</xdr:row>
      <xdr:rowOff>66675</xdr:rowOff>
    </xdr:from>
    <xdr:to>
      <xdr:col>14</xdr:col>
      <xdr:colOff>210673</xdr:colOff>
      <xdr:row>59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21621" y="8639175"/>
          <a:ext cx="4723452" cy="2638425"/>
        </a:xfrm>
        <a:prstGeom prst="rect">
          <a:avLst/>
        </a:prstGeom>
      </xdr:spPr>
    </xdr:pic>
    <xdr:clientData/>
  </xdr:twoCellAnchor>
  <xdr:twoCellAnchor editAs="oneCell">
    <xdr:from>
      <xdr:col>15</xdr:col>
      <xdr:colOff>9525</xdr:colOff>
      <xdr:row>45</xdr:row>
      <xdr:rowOff>123825</xdr:rowOff>
    </xdr:from>
    <xdr:to>
      <xdr:col>23</xdr:col>
      <xdr:colOff>580136</xdr:colOff>
      <xdr:row>59</xdr:row>
      <xdr:rowOff>152400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53525" y="8696325"/>
          <a:ext cx="5523611" cy="26955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9.bin"/><Relationship Id="rId1" Type="http://schemas.openxmlformats.org/officeDocument/2006/relationships/hyperlink" Target="https://www.ncbi.nlm.nih.gov/pmc/articles/PMC2930357/"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5.bin"/><Relationship Id="rId1" Type="http://schemas.openxmlformats.org/officeDocument/2006/relationships/hyperlink" Target="https://www.ncbi.nlm.nih.gov/pubmed/25875167"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31"/>
  <sheetViews>
    <sheetView topLeftCell="A133" zoomScale="80" zoomScaleNormal="80" workbookViewId="0">
      <selection activeCell="M170" sqref="M170"/>
    </sheetView>
  </sheetViews>
  <sheetFormatPr defaultRowHeight="15" x14ac:dyDescent="0.25"/>
  <cols>
    <col min="3" max="3" width="13.28515625" bestFit="1" customWidth="1"/>
    <col min="4" max="4" width="11.7109375" bestFit="1" customWidth="1"/>
    <col min="5" max="8" width="10.140625" bestFit="1" customWidth="1"/>
    <col min="9" max="9" width="13" bestFit="1" customWidth="1"/>
    <col min="10" max="10" width="12" customWidth="1"/>
    <col min="11" max="15" width="11.42578125" bestFit="1" customWidth="1"/>
    <col min="24" max="24" width="9.28515625" bestFit="1" customWidth="1"/>
    <col min="25" max="25" width="9.5703125" bestFit="1" customWidth="1"/>
  </cols>
  <sheetData>
    <row r="1" spans="1:25" x14ac:dyDescent="0.25">
      <c r="A1" s="2" t="s">
        <v>336</v>
      </c>
      <c r="M1" t="s">
        <v>368</v>
      </c>
    </row>
    <row r="2" spans="1:25" x14ac:dyDescent="0.25">
      <c r="B2" t="s">
        <v>310</v>
      </c>
      <c r="G2" t="s">
        <v>28</v>
      </c>
      <c r="M2" t="s">
        <v>372</v>
      </c>
      <c r="P2" t="s">
        <v>222</v>
      </c>
      <c r="T2" t="s">
        <v>373</v>
      </c>
      <c r="W2" t="s">
        <v>222</v>
      </c>
    </row>
    <row r="3" spans="1:25" x14ac:dyDescent="0.25">
      <c r="B3" t="s">
        <v>246</v>
      </c>
      <c r="C3" t="s">
        <v>222</v>
      </c>
      <c r="D3" t="s">
        <v>217</v>
      </c>
      <c r="E3" t="s">
        <v>144</v>
      </c>
      <c r="G3" t="s">
        <v>246</v>
      </c>
      <c r="H3" t="s">
        <v>217</v>
      </c>
      <c r="I3" t="s">
        <v>222</v>
      </c>
      <c r="J3" t="s">
        <v>144</v>
      </c>
      <c r="M3" t="s">
        <v>369</v>
      </c>
      <c r="N3" t="s">
        <v>370</v>
      </c>
      <c r="O3" t="s">
        <v>371</v>
      </c>
      <c r="P3" t="s">
        <v>369</v>
      </c>
      <c r="Q3" t="s">
        <v>370</v>
      </c>
      <c r="R3" t="s">
        <v>371</v>
      </c>
      <c r="T3" t="s">
        <v>369</v>
      </c>
      <c r="U3" t="s">
        <v>370</v>
      </c>
      <c r="V3" t="s">
        <v>371</v>
      </c>
      <c r="W3" t="s">
        <v>369</v>
      </c>
      <c r="X3" t="s">
        <v>370</v>
      </c>
      <c r="Y3" t="s">
        <v>371</v>
      </c>
    </row>
    <row r="4" spans="1:25" x14ac:dyDescent="0.25">
      <c r="B4" t="s">
        <v>322</v>
      </c>
      <c r="C4" s="4"/>
      <c r="D4" s="4"/>
      <c r="E4" s="16"/>
      <c r="G4" t="s">
        <v>322</v>
      </c>
      <c r="H4" s="4">
        <v>1422021</v>
      </c>
      <c r="I4" s="4">
        <v>1421385</v>
      </c>
      <c r="J4" s="4">
        <f>SUM(H4:I4)</f>
        <v>2843406</v>
      </c>
      <c r="L4" t="s">
        <v>322</v>
      </c>
      <c r="M4" s="4">
        <f t="shared" ref="M4:M19" si="0">(I30-H4)/H4*100</f>
        <v>34.401390696761865</v>
      </c>
      <c r="N4" s="4">
        <f>(I67-I30)/I30*100</f>
        <v>19.920302048538733</v>
      </c>
      <c r="O4" s="4">
        <f>(I91-I67)/I67*100</f>
        <v>30.912861441157169</v>
      </c>
      <c r="P4" s="8">
        <f t="shared" ref="P4:P19" si="1">(H30-I4)/I4*100</f>
        <v>32.886374908979619</v>
      </c>
      <c r="Q4" s="8">
        <f>(H67-H30)/H30*100</f>
        <v>18.749149604489983</v>
      </c>
      <c r="R4" s="8">
        <f>(H91-H67)/H67*100</f>
        <v>31.025927276650648</v>
      </c>
      <c r="U4" s="8">
        <f>(D67-D30)/D30*100</f>
        <v>8.0219499434217099</v>
      </c>
      <c r="V4" s="8">
        <f>(D91-D67)/D67*100</f>
        <v>33.959506645640907</v>
      </c>
      <c r="X4" s="7">
        <f t="shared" ref="X4:X20" si="2">(C67-C30)/C30*100</f>
        <v>7.3783751671779747</v>
      </c>
      <c r="Y4" s="7">
        <f t="shared" ref="Y4:Y20" si="3">(C91-C67)/C67*100</f>
        <v>33.952596308254506</v>
      </c>
    </row>
    <row r="5" spans="1:25" x14ac:dyDescent="0.25">
      <c r="B5" s="15" t="s">
        <v>323</v>
      </c>
      <c r="C5" s="4"/>
      <c r="D5" s="4"/>
      <c r="E5" s="4"/>
      <c r="G5" s="15" t="s">
        <v>323</v>
      </c>
      <c r="H5" s="4">
        <v>1247091</v>
      </c>
      <c r="I5" s="4">
        <v>1244749</v>
      </c>
      <c r="J5" s="4">
        <f t="shared" ref="J5:J19" si="4">SUM(H5:I5)</f>
        <v>2491840</v>
      </c>
      <c r="L5" s="15" t="s">
        <v>323</v>
      </c>
      <c r="M5" s="4">
        <f t="shared" si="0"/>
        <v>39.817062267308479</v>
      </c>
      <c r="N5" s="4">
        <f t="shared" ref="N5:N20" si="5">(I68-I31)/I31*100</f>
        <v>14.735445153431373</v>
      </c>
      <c r="O5" s="4">
        <f t="shared" ref="O5:O20" si="6">(I92-I68)/I68*100</f>
        <v>41.592388207419852</v>
      </c>
      <c r="P5" s="8">
        <f t="shared" si="1"/>
        <v>38.605614465245601</v>
      </c>
      <c r="Q5" s="8">
        <f t="shared" ref="Q5:Q20" si="7">(H68-H31)/H31*100</f>
        <v>13.752106889732287</v>
      </c>
      <c r="R5" s="8">
        <f t="shared" ref="R5:R20" si="8">(H92-H68)/H68*100</f>
        <v>40.890094346352413</v>
      </c>
      <c r="U5" s="8">
        <f t="shared" ref="U5:U20" si="9">(D68-D31)/D31*100</f>
        <v>5.8031870910223127</v>
      </c>
      <c r="V5" s="8">
        <f t="shared" ref="V5:V20" si="10">(D92-D68)/D68*100</f>
        <v>31.015318708249843</v>
      </c>
      <c r="X5" s="7">
        <f t="shared" si="2"/>
        <v>6.0943036062512013</v>
      </c>
      <c r="Y5" s="7">
        <f t="shared" si="3"/>
        <v>31.892448134928468</v>
      </c>
    </row>
    <row r="6" spans="1:25" x14ac:dyDescent="0.25">
      <c r="B6" s="15" t="s">
        <v>320</v>
      </c>
      <c r="C6" s="4"/>
      <c r="D6" s="4"/>
      <c r="E6" s="4"/>
      <c r="G6" s="15" t="s">
        <v>320</v>
      </c>
      <c r="H6" s="4">
        <v>1050932</v>
      </c>
      <c r="I6">
        <v>1023839</v>
      </c>
      <c r="J6" s="4">
        <f t="shared" si="4"/>
        <v>2074771</v>
      </c>
      <c r="L6" s="15" t="s">
        <v>320</v>
      </c>
      <c r="M6" s="4">
        <f t="shared" si="0"/>
        <v>43.115253888929068</v>
      </c>
      <c r="N6" s="4">
        <f t="shared" si="5"/>
        <v>35.3005630154437</v>
      </c>
      <c r="O6" s="4">
        <f t="shared" si="6"/>
        <v>26.060845806838394</v>
      </c>
      <c r="P6" s="8">
        <f t="shared" si="1"/>
        <v>45.105626958926159</v>
      </c>
      <c r="Q6" s="8">
        <f t="shared" si="7"/>
        <v>34.867411392200573</v>
      </c>
      <c r="R6" s="8">
        <f t="shared" si="8"/>
        <v>23.25185723091051</v>
      </c>
      <c r="U6" s="8">
        <f t="shared" si="9"/>
        <v>33.283525467819729</v>
      </c>
      <c r="V6" s="8">
        <f t="shared" si="10"/>
        <v>7.7108734672064969</v>
      </c>
      <c r="X6" s="7">
        <f t="shared" si="2"/>
        <v>32.806989198582933</v>
      </c>
      <c r="Y6" s="7">
        <f t="shared" si="3"/>
        <v>8.5592629408186589</v>
      </c>
    </row>
    <row r="7" spans="1:25" x14ac:dyDescent="0.25">
      <c r="B7" t="s">
        <v>311</v>
      </c>
      <c r="C7" s="4"/>
      <c r="D7" s="4"/>
      <c r="E7" s="4"/>
      <c r="G7" t="s">
        <v>311</v>
      </c>
      <c r="H7" s="4">
        <v>854123</v>
      </c>
      <c r="I7">
        <v>887722</v>
      </c>
      <c r="J7" s="4">
        <f t="shared" si="4"/>
        <v>1741845</v>
      </c>
      <c r="L7" t="s">
        <v>311</v>
      </c>
      <c r="M7" s="4">
        <f t="shared" si="0"/>
        <v>37.917372556411664</v>
      </c>
      <c r="N7" s="4">
        <f t="shared" si="5"/>
        <v>42.784961425622079</v>
      </c>
      <c r="O7" s="4">
        <f t="shared" si="6"/>
        <v>26.258811023172633</v>
      </c>
      <c r="P7" s="8">
        <f t="shared" si="1"/>
        <v>35.257659492498775</v>
      </c>
      <c r="Q7" s="8">
        <f t="shared" si="7"/>
        <v>43.34778031701191</v>
      </c>
      <c r="R7" s="8">
        <f t="shared" si="8"/>
        <v>18.864578891165088</v>
      </c>
      <c r="U7" s="8">
        <f t="shared" si="9"/>
        <v>45.307825207534449</v>
      </c>
      <c r="V7" s="8">
        <f t="shared" si="10"/>
        <v>14.595960328277702</v>
      </c>
      <c r="X7" s="7">
        <f t="shared" si="2"/>
        <v>44.755759704213311</v>
      </c>
      <c r="Y7" s="7">
        <f t="shared" si="3"/>
        <v>11.583133824486762</v>
      </c>
    </row>
    <row r="8" spans="1:25" x14ac:dyDescent="0.25">
      <c r="B8" t="s">
        <v>312</v>
      </c>
      <c r="C8" s="4"/>
      <c r="D8" s="4"/>
      <c r="E8" s="4"/>
      <c r="G8" t="s">
        <v>312</v>
      </c>
      <c r="H8" s="4">
        <v>641401</v>
      </c>
      <c r="I8">
        <v>686003</v>
      </c>
      <c r="J8" s="4">
        <f t="shared" si="4"/>
        <v>1327404</v>
      </c>
      <c r="L8" t="s">
        <v>312</v>
      </c>
      <c r="M8" s="4">
        <f t="shared" si="0"/>
        <v>38.695449492595117</v>
      </c>
      <c r="N8" s="4">
        <f t="shared" si="5"/>
        <v>49.341047713900949</v>
      </c>
      <c r="O8" s="4">
        <f t="shared" si="6"/>
        <v>32.033625159857252</v>
      </c>
      <c r="P8" s="8">
        <f t="shared" si="1"/>
        <v>47.716555175414683</v>
      </c>
      <c r="Q8" s="8">
        <f t="shared" si="7"/>
        <v>48.458464089052043</v>
      </c>
      <c r="R8" s="8">
        <f t="shared" si="8"/>
        <v>34.340120806520126</v>
      </c>
      <c r="U8" s="8">
        <f t="shared" si="9"/>
        <v>49.294094757945132</v>
      </c>
      <c r="V8" s="8">
        <f t="shared" si="10"/>
        <v>29.147095319308065</v>
      </c>
      <c r="X8" s="7">
        <f t="shared" si="2"/>
        <v>39.505260412138078</v>
      </c>
      <c r="Y8" s="7">
        <f t="shared" si="3"/>
        <v>31.193599943015631</v>
      </c>
    </row>
    <row r="9" spans="1:25" x14ac:dyDescent="0.25">
      <c r="B9" t="s">
        <v>313</v>
      </c>
      <c r="C9" s="4"/>
      <c r="D9" s="4"/>
      <c r="E9" s="4"/>
      <c r="G9" t="s">
        <v>313</v>
      </c>
      <c r="H9" s="4">
        <v>514451</v>
      </c>
      <c r="I9">
        <v>541261</v>
      </c>
      <c r="J9" s="4">
        <f t="shared" si="4"/>
        <v>1055712</v>
      </c>
      <c r="L9" t="s">
        <v>313</v>
      </c>
      <c r="M9" s="4">
        <f t="shared" si="0"/>
        <v>52.099033727216003</v>
      </c>
      <c r="N9" s="4">
        <f t="shared" si="5"/>
        <v>39.928943416722582</v>
      </c>
      <c r="O9" s="4">
        <f t="shared" si="6"/>
        <v>39.656902993764781</v>
      </c>
      <c r="P9" s="8">
        <f t="shared" si="1"/>
        <v>56.539451392211895</v>
      </c>
      <c r="Q9" s="8">
        <f t="shared" si="7"/>
        <v>37.449766135913805</v>
      </c>
      <c r="R9" s="8">
        <f t="shared" si="8"/>
        <v>43.578792265802505</v>
      </c>
      <c r="U9" s="8">
        <f t="shared" si="9"/>
        <v>28.322497010380758</v>
      </c>
      <c r="V9" s="8">
        <f t="shared" si="10"/>
        <v>43.375230040330479</v>
      </c>
      <c r="X9" s="7">
        <f t="shared" si="2"/>
        <v>19.31750720091468</v>
      </c>
      <c r="Y9" s="7">
        <f t="shared" si="3"/>
        <v>32.344991953218099</v>
      </c>
    </row>
    <row r="10" spans="1:25" x14ac:dyDescent="0.25">
      <c r="B10" t="s">
        <v>314</v>
      </c>
      <c r="C10" s="4"/>
      <c r="D10" s="4"/>
      <c r="E10" s="4"/>
      <c r="G10" t="s">
        <v>314</v>
      </c>
      <c r="H10" s="4">
        <v>405385</v>
      </c>
      <c r="I10">
        <v>412691</v>
      </c>
      <c r="J10" s="4">
        <f t="shared" si="4"/>
        <v>818076</v>
      </c>
      <c r="L10" t="s">
        <v>314</v>
      </c>
      <c r="M10" s="4">
        <f t="shared" si="0"/>
        <v>44.004588230940954</v>
      </c>
      <c r="N10" s="4">
        <f t="shared" si="5"/>
        <v>44.010086112238831</v>
      </c>
      <c r="O10" s="4">
        <f t="shared" si="6"/>
        <v>49.523844642270895</v>
      </c>
      <c r="P10" s="8">
        <f t="shared" si="1"/>
        <v>39.487170788798394</v>
      </c>
      <c r="Q10" s="8">
        <f t="shared" si="7"/>
        <v>46.830284321576784</v>
      </c>
      <c r="R10" s="8">
        <f t="shared" si="8"/>
        <v>49.364196727517957</v>
      </c>
      <c r="U10" s="8">
        <f t="shared" si="9"/>
        <v>25.944366409150195</v>
      </c>
      <c r="V10" s="8">
        <f t="shared" si="10"/>
        <v>42.266213915138962</v>
      </c>
      <c r="X10" s="7">
        <f t="shared" si="2"/>
        <v>28.062275100359841</v>
      </c>
      <c r="Y10" s="7">
        <f t="shared" si="3"/>
        <v>25.043650568066461</v>
      </c>
    </row>
    <row r="11" spans="1:25" x14ac:dyDescent="0.25">
      <c r="B11" t="s">
        <v>315</v>
      </c>
      <c r="C11" s="4"/>
      <c r="D11" s="4"/>
      <c r="E11" s="4"/>
      <c r="G11" t="s">
        <v>315</v>
      </c>
      <c r="H11" s="4">
        <v>290227</v>
      </c>
      <c r="I11">
        <v>325367</v>
      </c>
      <c r="J11" s="4">
        <f t="shared" si="4"/>
        <v>615594</v>
      </c>
      <c r="L11" t="s">
        <v>315</v>
      </c>
      <c r="M11" s="4">
        <f t="shared" si="0"/>
        <v>58.823955042087746</v>
      </c>
      <c r="N11" s="4">
        <f t="shared" si="5"/>
        <v>50.832628267707989</v>
      </c>
      <c r="O11" s="4">
        <f t="shared" si="6"/>
        <v>44.457708809472102</v>
      </c>
      <c r="P11" s="8">
        <f t="shared" si="1"/>
        <v>40.746295721446856</v>
      </c>
      <c r="Q11" s="8">
        <f t="shared" si="7"/>
        <v>58.04381340868494</v>
      </c>
      <c r="R11" s="8">
        <f t="shared" si="8"/>
        <v>38.759569961409277</v>
      </c>
      <c r="U11" s="8">
        <f t="shared" si="9"/>
        <v>43.47653458270468</v>
      </c>
      <c r="V11" s="8">
        <f t="shared" si="10"/>
        <v>18.145893292007969</v>
      </c>
      <c r="X11" s="7">
        <f t="shared" si="2"/>
        <v>46.964301899496313</v>
      </c>
      <c r="Y11" s="7">
        <f t="shared" si="3"/>
        <v>8.7284805554087157</v>
      </c>
    </row>
    <row r="12" spans="1:25" x14ac:dyDescent="0.25">
      <c r="B12" t="s">
        <v>316</v>
      </c>
      <c r="C12" s="4"/>
      <c r="D12" s="4"/>
      <c r="E12" s="4"/>
      <c r="G12" t="s">
        <v>316</v>
      </c>
      <c r="H12" s="4">
        <v>261480</v>
      </c>
      <c r="I12">
        <v>273702</v>
      </c>
      <c r="J12" s="4">
        <f t="shared" si="4"/>
        <v>535182</v>
      </c>
      <c r="L12" t="s">
        <v>316</v>
      </c>
      <c r="M12" s="4">
        <f t="shared" si="0"/>
        <v>40.712100351843354</v>
      </c>
      <c r="N12" s="4">
        <f t="shared" si="5"/>
        <v>40.378981012899054</v>
      </c>
      <c r="O12" s="4">
        <f t="shared" si="6"/>
        <v>43.967303127577431</v>
      </c>
      <c r="P12" s="8">
        <f t="shared" si="1"/>
        <v>33.080503613418969</v>
      </c>
      <c r="Q12" s="8">
        <f t="shared" si="7"/>
        <v>41.934801945948323</v>
      </c>
      <c r="R12" s="8">
        <f t="shared" si="8"/>
        <v>41.70030696978079</v>
      </c>
      <c r="U12" s="8">
        <f t="shared" si="9"/>
        <v>36.077640049966369</v>
      </c>
      <c r="V12" s="8">
        <f t="shared" si="10"/>
        <v>9.9918088351598691</v>
      </c>
      <c r="X12" s="7">
        <f t="shared" si="2"/>
        <v>37.118287975765867</v>
      </c>
      <c r="Y12" s="7">
        <f t="shared" si="3"/>
        <v>13.595115925503611</v>
      </c>
    </row>
    <row r="13" spans="1:25" x14ac:dyDescent="0.25">
      <c r="B13" t="s">
        <v>317</v>
      </c>
      <c r="C13" s="4"/>
      <c r="D13" s="4"/>
      <c r="E13" s="4"/>
      <c r="G13" t="s">
        <v>317</v>
      </c>
      <c r="H13" s="4">
        <v>218914</v>
      </c>
      <c r="I13">
        <v>221965</v>
      </c>
      <c r="J13" s="4">
        <f t="shared" si="4"/>
        <v>440879</v>
      </c>
      <c r="L13" t="s">
        <v>317</v>
      </c>
      <c r="M13" s="4">
        <f t="shared" si="0"/>
        <v>28.418922499246278</v>
      </c>
      <c r="N13" s="4">
        <f t="shared" si="5"/>
        <v>49.164256723829439</v>
      </c>
      <c r="O13" s="4">
        <f t="shared" si="6"/>
        <v>51.493891606115305</v>
      </c>
      <c r="P13" s="8">
        <f t="shared" si="1"/>
        <v>32.185254432005046</v>
      </c>
      <c r="Q13" s="8">
        <f t="shared" si="7"/>
        <v>42.801588248325693</v>
      </c>
      <c r="R13" s="8">
        <f t="shared" si="8"/>
        <v>52.145293290722627</v>
      </c>
      <c r="U13" s="8">
        <f t="shared" si="9"/>
        <v>46.972024274167154</v>
      </c>
      <c r="V13" s="8">
        <f t="shared" si="10"/>
        <v>28.651464012198673</v>
      </c>
      <c r="X13" s="7">
        <f t="shared" si="2"/>
        <v>35.099876122638591</v>
      </c>
      <c r="Y13" s="7">
        <f t="shared" si="3"/>
        <v>31.499469898850968</v>
      </c>
    </row>
    <row r="14" spans="1:25" x14ac:dyDescent="0.25">
      <c r="B14" t="s">
        <v>318</v>
      </c>
      <c r="C14" s="4"/>
      <c r="D14" s="4"/>
      <c r="E14" s="4"/>
      <c r="G14" t="s">
        <v>318</v>
      </c>
      <c r="H14" s="4">
        <v>182908</v>
      </c>
      <c r="I14">
        <v>191022</v>
      </c>
      <c r="J14" s="4">
        <f t="shared" si="4"/>
        <v>373930</v>
      </c>
      <c r="L14" t="s">
        <v>318</v>
      </c>
      <c r="M14" s="4">
        <f t="shared" si="0"/>
        <v>28.975222516237668</v>
      </c>
      <c r="N14" s="4">
        <f t="shared" si="5"/>
        <v>46.091663628733478</v>
      </c>
      <c r="O14" s="4">
        <f t="shared" si="6"/>
        <v>38.796247667849549</v>
      </c>
      <c r="P14" s="8">
        <f t="shared" si="1"/>
        <v>25.962978086293724</v>
      </c>
      <c r="Q14" s="8">
        <f t="shared" si="7"/>
        <v>41.372804082837042</v>
      </c>
      <c r="R14" s="8">
        <f t="shared" si="8"/>
        <v>40.478059306164326</v>
      </c>
      <c r="U14" s="8">
        <f t="shared" si="9"/>
        <v>31.746415987519839</v>
      </c>
      <c r="V14" s="8">
        <f t="shared" si="10"/>
        <v>24.506961741047732</v>
      </c>
      <c r="X14" s="7">
        <f t="shared" si="2"/>
        <v>21.279136627006945</v>
      </c>
      <c r="Y14" s="7">
        <f t="shared" si="3"/>
        <v>35.802334062727937</v>
      </c>
    </row>
    <row r="15" spans="1:25" x14ac:dyDescent="0.25">
      <c r="B15" t="s">
        <v>319</v>
      </c>
      <c r="C15" s="4"/>
      <c r="D15" s="4"/>
      <c r="E15" s="4"/>
      <c r="G15" t="s">
        <v>319</v>
      </c>
      <c r="H15" s="4">
        <v>140777</v>
      </c>
      <c r="I15">
        <v>134534</v>
      </c>
      <c r="J15" s="4">
        <f t="shared" si="4"/>
        <v>275311</v>
      </c>
      <c r="L15" t="s">
        <v>319</v>
      </c>
      <c r="M15" s="4">
        <f t="shared" si="0"/>
        <v>27.163528133146748</v>
      </c>
      <c r="N15" s="4">
        <f t="shared" si="5"/>
        <v>24.899311238597452</v>
      </c>
      <c r="O15" s="4">
        <f t="shared" si="6"/>
        <v>60.769440630436819</v>
      </c>
      <c r="P15" s="8">
        <f t="shared" si="1"/>
        <v>34.653693490121455</v>
      </c>
      <c r="Q15" s="8">
        <f t="shared" si="7"/>
        <v>30.454583091827441</v>
      </c>
      <c r="R15" s="8">
        <f t="shared" si="8"/>
        <v>49.153496244578442</v>
      </c>
      <c r="U15" s="8">
        <f t="shared" si="9"/>
        <v>2.1230048684291614</v>
      </c>
      <c r="V15" s="8">
        <f t="shared" si="10"/>
        <v>45.26144283860846</v>
      </c>
      <c r="X15" s="7">
        <f t="shared" si="2"/>
        <v>1.54699210046587</v>
      </c>
      <c r="Y15" s="7">
        <f t="shared" si="3"/>
        <v>37.644301493504869</v>
      </c>
    </row>
    <row r="16" spans="1:25" x14ac:dyDescent="0.25">
      <c r="B16" t="s">
        <v>324</v>
      </c>
      <c r="C16" s="4"/>
      <c r="D16" s="4"/>
      <c r="E16" s="4"/>
      <c r="G16" t="s">
        <v>324</v>
      </c>
      <c r="H16" s="4">
        <v>107710</v>
      </c>
      <c r="I16">
        <v>109518</v>
      </c>
      <c r="J16" s="4">
        <f t="shared" si="4"/>
        <v>217228</v>
      </c>
      <c r="L16" t="s">
        <v>324</v>
      </c>
      <c r="M16" s="4">
        <f t="shared" si="0"/>
        <v>39.723331167022565</v>
      </c>
      <c r="N16" s="4">
        <f t="shared" si="5"/>
        <v>29.247953433978314</v>
      </c>
      <c r="O16" s="4">
        <f t="shared" si="6"/>
        <v>51.76209302206022</v>
      </c>
      <c r="P16" s="8">
        <f t="shared" si="1"/>
        <v>53.309045088478598</v>
      </c>
      <c r="Q16" s="8">
        <f t="shared" si="7"/>
        <v>27.881906599722456</v>
      </c>
      <c r="R16" s="8">
        <f t="shared" si="8"/>
        <v>39.059218033206811</v>
      </c>
      <c r="U16" s="8">
        <f t="shared" si="9"/>
        <v>18.281130634071811</v>
      </c>
      <c r="V16" s="8">
        <f t="shared" si="10"/>
        <v>29.629270813149905</v>
      </c>
      <c r="X16" s="7">
        <f t="shared" si="2"/>
        <v>27.914260546148579</v>
      </c>
      <c r="Y16" s="7">
        <f t="shared" si="3"/>
        <v>19.29757441273242</v>
      </c>
    </row>
    <row r="17" spans="1:25" x14ac:dyDescent="0.25">
      <c r="B17" t="s">
        <v>325</v>
      </c>
      <c r="C17" s="4"/>
      <c r="D17" s="4"/>
      <c r="E17" s="4"/>
      <c r="G17" t="s">
        <v>325</v>
      </c>
      <c r="H17" s="4">
        <v>99906</v>
      </c>
      <c r="I17">
        <v>83221</v>
      </c>
      <c r="J17" s="4">
        <f t="shared" si="4"/>
        <v>183127</v>
      </c>
      <c r="L17" t="s">
        <v>325</v>
      </c>
      <c r="M17" s="4">
        <f t="shared" si="0"/>
        <v>13.796969151001942</v>
      </c>
      <c r="N17" s="4">
        <f t="shared" si="5"/>
        <v>23.99419474008268</v>
      </c>
      <c r="O17" s="4">
        <f t="shared" si="6"/>
        <v>29.922890848342544</v>
      </c>
      <c r="P17" s="8">
        <f t="shared" si="1"/>
        <v>40.565482270100098</v>
      </c>
      <c r="Q17" s="8">
        <f t="shared" si="7"/>
        <v>37.086681484014363</v>
      </c>
      <c r="R17" s="8">
        <f t="shared" si="8"/>
        <v>29.46297173929311</v>
      </c>
      <c r="U17" s="8">
        <f t="shared" si="9"/>
        <v>27.127553063676412</v>
      </c>
      <c r="V17" s="8">
        <f t="shared" si="10"/>
        <v>-0.9608190588698563</v>
      </c>
      <c r="X17" s="7">
        <f t="shared" si="2"/>
        <v>46.491228070175438</v>
      </c>
      <c r="Y17" s="7">
        <f t="shared" si="3"/>
        <v>-1.8203592814371259</v>
      </c>
    </row>
    <row r="18" spans="1:25" x14ac:dyDescent="0.25">
      <c r="B18" t="s">
        <v>326</v>
      </c>
      <c r="C18" s="4"/>
      <c r="D18" s="4"/>
      <c r="E18" s="4"/>
      <c r="G18" t="s">
        <v>326</v>
      </c>
      <c r="H18" s="4">
        <v>66369</v>
      </c>
      <c r="I18">
        <v>62539</v>
      </c>
      <c r="J18" s="4">
        <f t="shared" si="4"/>
        <v>128908</v>
      </c>
      <c r="L18" t="s">
        <v>326</v>
      </c>
      <c r="M18" s="4">
        <f t="shared" si="0"/>
        <v>25.00715695580768</v>
      </c>
      <c r="N18" s="4">
        <f t="shared" si="5"/>
        <v>42.95132946026083</v>
      </c>
      <c r="O18" s="4">
        <f t="shared" si="6"/>
        <v>35.159905902985642</v>
      </c>
      <c r="P18" s="8">
        <f t="shared" si="1"/>
        <v>45.848190728985109</v>
      </c>
      <c r="Q18" s="8">
        <f t="shared" si="7"/>
        <v>48.581327018374779</v>
      </c>
      <c r="R18" s="8">
        <f t="shared" si="8"/>
        <v>32.079926802632748</v>
      </c>
      <c r="U18" s="8">
        <f t="shared" si="9"/>
        <v>23.376876584129462</v>
      </c>
      <c r="V18" s="8">
        <f t="shared" si="10"/>
        <v>21.223135271807838</v>
      </c>
      <c r="X18" s="7">
        <f t="shared" si="2"/>
        <v>43.626923320458431</v>
      </c>
      <c r="Y18" s="7">
        <f t="shared" si="3"/>
        <v>30.070978265661509</v>
      </c>
    </row>
    <row r="19" spans="1:25" x14ac:dyDescent="0.25">
      <c r="B19" t="s">
        <v>327</v>
      </c>
      <c r="C19" s="4"/>
      <c r="D19" s="4"/>
      <c r="E19" s="4"/>
      <c r="G19" t="s">
        <v>327</v>
      </c>
      <c r="H19" s="4">
        <v>87766</v>
      </c>
      <c r="I19">
        <v>86597</v>
      </c>
      <c r="J19" s="4">
        <f t="shared" si="4"/>
        <v>174363</v>
      </c>
      <c r="L19" t="s">
        <v>327</v>
      </c>
      <c r="M19" s="4">
        <f t="shared" si="0"/>
        <v>-24.116400428411914</v>
      </c>
      <c r="N19" s="4">
        <f t="shared" si="5"/>
        <v>18.867867867867869</v>
      </c>
      <c r="O19" s="4">
        <f t="shared" si="6"/>
        <v>26.105904049718315</v>
      </c>
      <c r="P19" s="8">
        <f t="shared" si="1"/>
        <v>-30.163862489462684</v>
      </c>
      <c r="Q19" s="8">
        <f t="shared" si="7"/>
        <v>34.962629803558436</v>
      </c>
      <c r="R19" s="8">
        <f t="shared" si="8"/>
        <v>45.39941190884587</v>
      </c>
      <c r="U19" s="8">
        <f t="shared" si="9"/>
        <v>3.6479250334672022</v>
      </c>
      <c r="V19" s="8">
        <f t="shared" si="10"/>
        <v>25.879883758475948</v>
      </c>
      <c r="X19" s="7">
        <f t="shared" si="2"/>
        <v>40.869017632241814</v>
      </c>
      <c r="Y19" s="7">
        <f t="shared" si="3"/>
        <v>58.232752197884075</v>
      </c>
    </row>
    <row r="20" spans="1:25" x14ac:dyDescent="0.25">
      <c r="B20" t="s">
        <v>328</v>
      </c>
      <c r="C20" s="4"/>
      <c r="D20" s="4"/>
      <c r="E20" s="4"/>
      <c r="G20" t="s">
        <v>328</v>
      </c>
      <c r="H20" s="4"/>
      <c r="I20" s="4"/>
      <c r="J20" s="4"/>
      <c r="L20" t="s">
        <v>328</v>
      </c>
      <c r="N20" s="4">
        <f t="shared" si="5"/>
        <v>15.922637148765356</v>
      </c>
      <c r="O20" s="4">
        <f t="shared" si="6"/>
        <v>66.972717733473246</v>
      </c>
      <c r="P20" s="8"/>
      <c r="Q20" s="8">
        <f t="shared" si="7"/>
        <v>28.668013181673224</v>
      </c>
      <c r="R20" s="8">
        <f t="shared" si="8"/>
        <v>85.541730696145009</v>
      </c>
      <c r="U20" s="8">
        <f t="shared" si="9"/>
        <v>14.721899830372287</v>
      </c>
      <c r="V20" s="8">
        <f t="shared" si="10"/>
        <v>53.571984435797674</v>
      </c>
      <c r="X20" s="7">
        <f t="shared" si="2"/>
        <v>28.520328040481591</v>
      </c>
      <c r="Y20" s="7">
        <f t="shared" si="3"/>
        <v>101.18797094562488</v>
      </c>
    </row>
    <row r="21" spans="1:25" x14ac:dyDescent="0.25">
      <c r="B21" t="s">
        <v>321</v>
      </c>
      <c r="C21" s="4"/>
      <c r="D21" s="4"/>
      <c r="E21" s="4"/>
      <c r="G21" t="s">
        <v>321</v>
      </c>
      <c r="H21" s="4"/>
      <c r="I21" s="4"/>
      <c r="J21" s="4"/>
    </row>
    <row r="22" spans="1:25" x14ac:dyDescent="0.25">
      <c r="B22" t="s">
        <v>144</v>
      </c>
      <c r="C22" s="4"/>
      <c r="D22" s="4"/>
      <c r="E22" s="4"/>
      <c r="G22" t="s">
        <v>144</v>
      </c>
      <c r="H22" s="4">
        <f>SUM(H4:H21)</f>
        <v>7591461</v>
      </c>
      <c r="I22" s="4">
        <f>SUM(I4:I21)</f>
        <v>7706115</v>
      </c>
      <c r="J22" s="4">
        <f>SUM(J4:J21)</f>
        <v>15297576</v>
      </c>
    </row>
    <row r="26" spans="1:25" x14ac:dyDescent="0.25">
      <c r="A26" s="2" t="s">
        <v>309</v>
      </c>
    </row>
    <row r="27" spans="1:25" x14ac:dyDescent="0.25">
      <c r="L27" t="s">
        <v>367</v>
      </c>
      <c r="R27" t="s">
        <v>388</v>
      </c>
    </row>
    <row r="28" spans="1:25" x14ac:dyDescent="0.25">
      <c r="B28" t="s">
        <v>310</v>
      </c>
      <c r="G28" t="s">
        <v>28</v>
      </c>
      <c r="L28" t="s">
        <v>158</v>
      </c>
      <c r="O28" t="s">
        <v>28</v>
      </c>
      <c r="R28" t="s">
        <v>222</v>
      </c>
      <c r="S28" t="s">
        <v>217</v>
      </c>
    </row>
    <row r="29" spans="1:25" x14ac:dyDescent="0.25">
      <c r="B29" t="s">
        <v>246</v>
      </c>
      <c r="C29" t="s">
        <v>222</v>
      </c>
      <c r="D29" t="s">
        <v>217</v>
      </c>
      <c r="E29" t="s">
        <v>144</v>
      </c>
      <c r="G29" t="s">
        <v>246</v>
      </c>
      <c r="H29" t="s">
        <v>222</v>
      </c>
      <c r="I29" t="s">
        <v>217</v>
      </c>
      <c r="J29" t="s">
        <v>144</v>
      </c>
      <c r="L29" t="s">
        <v>222</v>
      </c>
      <c r="M29" t="s">
        <v>223</v>
      </c>
      <c r="O29" t="s">
        <v>215</v>
      </c>
      <c r="P29" t="s">
        <v>217</v>
      </c>
      <c r="R29">
        <v>1989</v>
      </c>
      <c r="S29">
        <v>1989</v>
      </c>
    </row>
    <row r="30" spans="1:25" x14ac:dyDescent="0.25">
      <c r="B30" t="s">
        <v>322</v>
      </c>
      <c r="C30" s="4">
        <v>328243</v>
      </c>
      <c r="D30" s="4">
        <v>328748</v>
      </c>
      <c r="E30" s="16">
        <v>656991</v>
      </c>
      <c r="G30" t="s">
        <v>322</v>
      </c>
      <c r="H30" s="4">
        <v>1888827</v>
      </c>
      <c r="I30" s="4">
        <v>1911216</v>
      </c>
      <c r="J30" s="4">
        <v>3800043</v>
      </c>
      <c r="L30">
        <f t="shared" ref="L30:L46" si="11">C30/E$48*100</f>
        <v>9.3592197908166206</v>
      </c>
      <c r="M30">
        <f>D30/E$48*100</f>
        <v>9.3736188975587673</v>
      </c>
      <c r="O30">
        <f>H30/J$48*100</f>
        <v>8.808333624017866</v>
      </c>
      <c r="P30">
        <f>I30/J$48*100</f>
        <v>8.9127422233804001</v>
      </c>
      <c r="R30" s="7">
        <f t="shared" ref="R30:R46" si="12">C30/H30*100</f>
        <v>17.378139977880451</v>
      </c>
      <c r="S30" s="7">
        <f t="shared" ref="S30:S46" si="13">D30/I30*100</f>
        <v>17.200986178432998</v>
      </c>
    </row>
    <row r="31" spans="1:25" x14ac:dyDescent="0.25">
      <c r="B31" s="15" t="s">
        <v>323</v>
      </c>
      <c r="C31" s="4">
        <v>291272</v>
      </c>
      <c r="D31" s="4">
        <v>293873</v>
      </c>
      <c r="E31" s="4">
        <v>585145</v>
      </c>
      <c r="G31" s="15" t="s">
        <v>323</v>
      </c>
      <c r="H31" s="4">
        <v>1725292</v>
      </c>
      <c r="I31" s="4">
        <v>1743646</v>
      </c>
      <c r="J31" s="4">
        <v>3468938</v>
      </c>
      <c r="L31">
        <f t="shared" si="11"/>
        <v>8.305062611878208</v>
      </c>
      <c r="M31">
        <f t="shared" ref="M31:M46" si="14">D31/E$48*100</f>
        <v>8.3792251398709272</v>
      </c>
      <c r="O31">
        <f t="shared" ref="O31:O46" si="15">H31/J$48*100</f>
        <v>8.045706427771858</v>
      </c>
      <c r="P31">
        <f t="shared" ref="P31:P46" si="16">I31/J$48*100</f>
        <v>8.1312982555756861</v>
      </c>
      <c r="R31" s="7">
        <f t="shared" si="12"/>
        <v>16.882475546168415</v>
      </c>
      <c r="S31" s="7">
        <f t="shared" si="13"/>
        <v>16.853937095029611</v>
      </c>
    </row>
    <row r="32" spans="1:25" x14ac:dyDescent="0.25">
      <c r="B32" s="15" t="s">
        <v>320</v>
      </c>
      <c r="C32" s="4">
        <v>253763</v>
      </c>
      <c r="D32" s="4">
        <v>258326</v>
      </c>
      <c r="E32" s="4">
        <v>512089</v>
      </c>
      <c r="G32" s="15" t="s">
        <v>320</v>
      </c>
      <c r="H32" s="4">
        <v>1485648</v>
      </c>
      <c r="I32" s="4">
        <v>1504044</v>
      </c>
      <c r="J32" s="4">
        <v>2989692</v>
      </c>
      <c r="L32">
        <f t="shared" si="11"/>
        <v>7.235565394469945</v>
      </c>
      <c r="M32">
        <f t="shared" si="14"/>
        <v>7.3656705906371025</v>
      </c>
      <c r="O32">
        <f t="shared" si="15"/>
        <v>6.9281534157733322</v>
      </c>
      <c r="P32">
        <f t="shared" si="16"/>
        <v>7.0139411058833492</v>
      </c>
      <c r="R32" s="7">
        <f t="shared" si="12"/>
        <v>17.080963996855246</v>
      </c>
      <c r="S32" s="7">
        <f t="shared" si="13"/>
        <v>17.175428378425099</v>
      </c>
    </row>
    <row r="33" spans="2:19" x14ac:dyDescent="0.25">
      <c r="B33" t="s">
        <v>311</v>
      </c>
      <c r="C33" s="4">
        <v>194194</v>
      </c>
      <c r="D33" s="4">
        <v>189848</v>
      </c>
      <c r="E33" s="4">
        <v>384042</v>
      </c>
      <c r="G33" t="s">
        <v>311</v>
      </c>
      <c r="H33" s="4">
        <v>1200712</v>
      </c>
      <c r="I33" s="4">
        <v>1177984</v>
      </c>
      <c r="J33" s="4">
        <v>2378696</v>
      </c>
      <c r="L33">
        <f t="shared" si="11"/>
        <v>5.5370695736324702</v>
      </c>
      <c r="M33">
        <f t="shared" si="14"/>
        <v>5.4131517164020373</v>
      </c>
      <c r="O33">
        <f t="shared" si="15"/>
        <v>5.5993862234930676</v>
      </c>
      <c r="P33">
        <f t="shared" si="16"/>
        <v>5.4933967355163089</v>
      </c>
      <c r="R33" s="7">
        <f t="shared" si="12"/>
        <v>16.1732372125872</v>
      </c>
      <c r="S33" s="7">
        <f t="shared" si="13"/>
        <v>16.116347930022819</v>
      </c>
    </row>
    <row r="34" spans="2:19" x14ac:dyDescent="0.25">
      <c r="B34" t="s">
        <v>312</v>
      </c>
      <c r="C34" s="4">
        <v>161014</v>
      </c>
      <c r="D34" s="4">
        <v>118217</v>
      </c>
      <c r="E34" s="4">
        <v>279231</v>
      </c>
      <c r="G34" t="s">
        <v>312</v>
      </c>
      <c r="H34" s="4">
        <v>1013340</v>
      </c>
      <c r="I34" s="4">
        <v>889594</v>
      </c>
      <c r="J34" s="4">
        <v>1902934</v>
      </c>
      <c r="L34">
        <f t="shared" si="11"/>
        <v>4.591005491049458</v>
      </c>
      <c r="M34">
        <f t="shared" si="14"/>
        <v>3.3707310925471932</v>
      </c>
      <c r="O34">
        <f t="shared" si="15"/>
        <v>4.7255978417093072</v>
      </c>
      <c r="P34">
        <f t="shared" si="16"/>
        <v>4.1485222002462647</v>
      </c>
      <c r="R34" s="7">
        <f t="shared" si="12"/>
        <v>15.889434937928041</v>
      </c>
      <c r="S34" s="7">
        <f t="shared" si="13"/>
        <v>13.288871102997547</v>
      </c>
    </row>
    <row r="35" spans="2:19" x14ac:dyDescent="0.25">
      <c r="B35" t="s">
        <v>313</v>
      </c>
      <c r="C35" s="4">
        <v>136441</v>
      </c>
      <c r="D35" s="4">
        <v>99511</v>
      </c>
      <c r="E35" s="4">
        <v>235952</v>
      </c>
      <c r="G35" t="s">
        <v>313</v>
      </c>
      <c r="H35" s="4">
        <v>847287</v>
      </c>
      <c r="I35" s="4">
        <v>782475</v>
      </c>
      <c r="J35" s="4">
        <v>1629761</v>
      </c>
      <c r="L35">
        <f t="shared" si="11"/>
        <v>3.8903535109014071</v>
      </c>
      <c r="M35">
        <f t="shared" si="14"/>
        <v>2.8373653683519606</v>
      </c>
      <c r="O35">
        <f t="shared" si="15"/>
        <v>3.9512282338685472</v>
      </c>
      <c r="P35">
        <f t="shared" si="16"/>
        <v>3.6489847150921606</v>
      </c>
      <c r="R35" s="7">
        <f t="shared" si="12"/>
        <v>16.103280234442401</v>
      </c>
      <c r="S35" s="7">
        <f t="shared" si="13"/>
        <v>12.717467011725613</v>
      </c>
    </row>
    <row r="36" spans="2:19" x14ac:dyDescent="0.25">
      <c r="B36" t="s">
        <v>314</v>
      </c>
      <c r="C36" s="4">
        <v>96154</v>
      </c>
      <c r="D36" s="4">
        <v>79736</v>
      </c>
      <c r="E36" s="4">
        <v>175890</v>
      </c>
      <c r="G36" t="s">
        <v>314</v>
      </c>
      <c r="H36" s="4">
        <v>575651</v>
      </c>
      <c r="I36" s="4">
        <v>583773</v>
      </c>
      <c r="J36" s="4">
        <v>1159424</v>
      </c>
      <c r="L36">
        <f t="shared" si="11"/>
        <v>2.7416469498700087</v>
      </c>
      <c r="M36">
        <f t="shared" si="14"/>
        <v>2.2735191587956303</v>
      </c>
      <c r="O36">
        <f t="shared" si="15"/>
        <v>2.6844841052142461</v>
      </c>
      <c r="P36">
        <f t="shared" si="16"/>
        <v>2.722360144520267</v>
      </c>
      <c r="R36" s="7">
        <f t="shared" si="12"/>
        <v>16.703523489058476</v>
      </c>
      <c r="S36" s="7">
        <f t="shared" si="13"/>
        <v>13.6587337886473</v>
      </c>
    </row>
    <row r="37" spans="2:19" x14ac:dyDescent="0.25">
      <c r="B37" t="s">
        <v>315</v>
      </c>
      <c r="C37" s="4">
        <v>77231</v>
      </c>
      <c r="D37" s="4">
        <v>62965</v>
      </c>
      <c r="E37" s="4">
        <v>140196</v>
      </c>
      <c r="G37" t="s">
        <v>315</v>
      </c>
      <c r="H37" s="4">
        <v>457942</v>
      </c>
      <c r="I37" s="4">
        <v>460950</v>
      </c>
      <c r="J37" s="4">
        <v>918892</v>
      </c>
      <c r="L37">
        <f t="shared" si="11"/>
        <v>2.2020938867380524</v>
      </c>
      <c r="M37">
        <f t="shared" si="14"/>
        <v>1.7953262495430777</v>
      </c>
      <c r="O37">
        <f t="shared" si="15"/>
        <v>2.1355613385714998</v>
      </c>
      <c r="P37">
        <f t="shared" si="16"/>
        <v>2.1495888104051013</v>
      </c>
      <c r="R37" s="7">
        <f t="shared" si="12"/>
        <v>16.86479947242227</v>
      </c>
      <c r="S37" s="7">
        <f t="shared" si="13"/>
        <v>13.659832953682614</v>
      </c>
    </row>
    <row r="38" spans="2:19" x14ac:dyDescent="0.25">
      <c r="B38" t="s">
        <v>316</v>
      </c>
      <c r="C38" s="4">
        <v>61401</v>
      </c>
      <c r="D38" s="4">
        <v>52035</v>
      </c>
      <c r="E38" s="4">
        <v>113436</v>
      </c>
      <c r="G38" t="s">
        <v>316</v>
      </c>
      <c r="H38" s="4">
        <v>364244</v>
      </c>
      <c r="I38" s="4">
        <v>367934</v>
      </c>
      <c r="J38" s="4">
        <v>732178</v>
      </c>
      <c r="L38">
        <f t="shared" si="11"/>
        <v>1.7507317882664104</v>
      </c>
      <c r="M38">
        <f t="shared" si="14"/>
        <v>1.4836782560942439</v>
      </c>
      <c r="O38">
        <f t="shared" si="15"/>
        <v>1.6986111870207086</v>
      </c>
      <c r="P38">
        <f t="shared" si="16"/>
        <v>1.7158190896357315</v>
      </c>
      <c r="R38" s="7">
        <f t="shared" si="12"/>
        <v>16.857106774579677</v>
      </c>
      <c r="S38" s="7">
        <f t="shared" si="13"/>
        <v>14.142482075589644</v>
      </c>
    </row>
    <row r="39" spans="2:19" x14ac:dyDescent="0.25">
      <c r="B39" t="s">
        <v>317</v>
      </c>
      <c r="C39" s="4">
        <v>51664</v>
      </c>
      <c r="D39" s="4">
        <v>39713</v>
      </c>
      <c r="E39" s="4">
        <v>91377</v>
      </c>
      <c r="G39" t="s">
        <v>317</v>
      </c>
      <c r="H39" s="4">
        <v>293405</v>
      </c>
      <c r="I39" s="4">
        <v>281127</v>
      </c>
      <c r="J39" s="4">
        <v>574532</v>
      </c>
      <c r="L39">
        <f t="shared" si="11"/>
        <v>1.4730999024282312</v>
      </c>
      <c r="M39">
        <f t="shared" si="14"/>
        <v>1.1323400515858693</v>
      </c>
      <c r="O39">
        <f t="shared" si="15"/>
        <v>1.3682614273064511</v>
      </c>
      <c r="P39">
        <f t="shared" si="16"/>
        <v>1.3110043464643777</v>
      </c>
      <c r="R39" s="7">
        <f t="shared" si="12"/>
        <v>17.608425214294236</v>
      </c>
      <c r="S39" s="7">
        <f t="shared" si="13"/>
        <v>14.126355704005663</v>
      </c>
    </row>
    <row r="40" spans="2:19" x14ac:dyDescent="0.25">
      <c r="B40" t="s">
        <v>318</v>
      </c>
      <c r="C40" s="4">
        <v>45218</v>
      </c>
      <c r="D40" s="4">
        <v>37179</v>
      </c>
      <c r="E40" s="4">
        <v>82397</v>
      </c>
      <c r="G40" t="s">
        <v>318</v>
      </c>
      <c r="H40" s="4">
        <v>240617</v>
      </c>
      <c r="I40" s="4">
        <v>235906</v>
      </c>
      <c r="J40" s="4">
        <v>476523</v>
      </c>
      <c r="L40">
        <f t="shared" si="11"/>
        <v>1.2893045716165947</v>
      </c>
      <c r="M40">
        <f t="shared" si="14"/>
        <v>1.0600879001312171</v>
      </c>
      <c r="O40">
        <f t="shared" si="15"/>
        <v>1.1220904887585295</v>
      </c>
      <c r="P40">
        <f t="shared" si="16"/>
        <v>1.1001212667478593</v>
      </c>
      <c r="R40" s="7">
        <f t="shared" si="12"/>
        <v>18.792520894201161</v>
      </c>
      <c r="S40" s="7">
        <f t="shared" si="13"/>
        <v>15.76009088365705</v>
      </c>
    </row>
    <row r="41" spans="2:19" x14ac:dyDescent="0.25">
      <c r="B41" t="s">
        <v>319</v>
      </c>
      <c r="C41" s="4">
        <v>39496</v>
      </c>
      <c r="D41" s="4">
        <v>32454</v>
      </c>
      <c r="E41" s="4">
        <v>71950</v>
      </c>
      <c r="G41" t="s">
        <v>319</v>
      </c>
      <c r="H41" s="4">
        <v>181155</v>
      </c>
      <c r="I41" s="4">
        <v>179017</v>
      </c>
      <c r="J41" s="4">
        <v>360172</v>
      </c>
      <c r="L41">
        <f t="shared" si="11"/>
        <v>1.1261527126491448</v>
      </c>
      <c r="M41">
        <f t="shared" si="14"/>
        <v>0.92536358457350976</v>
      </c>
      <c r="O41">
        <f t="shared" si="15"/>
        <v>0.84479609707980485</v>
      </c>
      <c r="P41">
        <f t="shared" si="16"/>
        <v>0.83482577301722516</v>
      </c>
      <c r="R41" s="7">
        <f t="shared" si="12"/>
        <v>21.802323976705033</v>
      </c>
      <c r="S41" s="7">
        <f t="shared" si="13"/>
        <v>18.129004507951759</v>
      </c>
    </row>
    <row r="42" spans="2:19" x14ac:dyDescent="0.25">
      <c r="B42" t="s">
        <v>324</v>
      </c>
      <c r="C42" s="4">
        <v>30651</v>
      </c>
      <c r="D42" s="4">
        <v>26180</v>
      </c>
      <c r="E42" s="4">
        <v>56831</v>
      </c>
      <c r="G42" t="s">
        <v>324</v>
      </c>
      <c r="H42" s="4">
        <v>167901</v>
      </c>
      <c r="I42" s="4">
        <v>150496</v>
      </c>
      <c r="J42" s="4">
        <v>318397</v>
      </c>
      <c r="L42">
        <f t="shared" si="11"/>
        <v>0.87395449654164814</v>
      </c>
      <c r="M42">
        <f t="shared" si="14"/>
        <v>0.74647250397900067</v>
      </c>
      <c r="O42">
        <f t="shared" si="15"/>
        <v>0.78298754931299896</v>
      </c>
      <c r="P42">
        <f t="shared" si="16"/>
        <v>0.70182127695135288</v>
      </c>
      <c r="R42" s="7">
        <f t="shared" si="12"/>
        <v>18.255400503868351</v>
      </c>
      <c r="S42" s="7">
        <f t="shared" si="13"/>
        <v>17.395811184350414</v>
      </c>
    </row>
    <row r="43" spans="2:19" x14ac:dyDescent="0.25">
      <c r="B43" t="s">
        <v>325</v>
      </c>
      <c r="C43" s="4">
        <v>22800</v>
      </c>
      <c r="D43" s="4">
        <v>19976</v>
      </c>
      <c r="E43" s="4">
        <v>42776</v>
      </c>
      <c r="G43" t="s">
        <v>325</v>
      </c>
      <c r="H43" s="4">
        <v>116980</v>
      </c>
      <c r="I43" s="4">
        <v>113690</v>
      </c>
      <c r="J43" s="4">
        <v>230670</v>
      </c>
      <c r="L43">
        <f t="shared" si="11"/>
        <v>0.65009828459592112</v>
      </c>
      <c r="M43">
        <f t="shared" si="14"/>
        <v>0.56957733917053166</v>
      </c>
      <c r="O43">
        <f t="shared" si="15"/>
        <v>0.54552315661392492</v>
      </c>
      <c r="P43">
        <f t="shared" si="16"/>
        <v>0.53018060929592348</v>
      </c>
      <c r="R43" s="7">
        <f t="shared" si="12"/>
        <v>19.490511198495469</v>
      </c>
      <c r="S43" s="7">
        <f t="shared" si="13"/>
        <v>17.570586683085583</v>
      </c>
    </row>
    <row r="44" spans="2:19" x14ac:dyDescent="0.25">
      <c r="B44" t="s">
        <v>326</v>
      </c>
      <c r="C44" s="4">
        <v>15793</v>
      </c>
      <c r="D44" s="4">
        <v>15387</v>
      </c>
      <c r="E44" s="4">
        <v>31180</v>
      </c>
      <c r="G44" t="s">
        <v>326</v>
      </c>
      <c r="H44" s="4">
        <v>91212</v>
      </c>
      <c r="I44" s="4">
        <v>82966</v>
      </c>
      <c r="J44" s="4">
        <v>174178</v>
      </c>
      <c r="L44">
        <f t="shared" si="11"/>
        <v>0.45030711441330623</v>
      </c>
      <c r="M44">
        <f t="shared" si="14"/>
        <v>0.43873080285427363</v>
      </c>
      <c r="O44">
        <f t="shared" si="15"/>
        <v>0.42535696837980275</v>
      </c>
      <c r="P44">
        <f t="shared" si="16"/>
        <v>0.38690266893170544</v>
      </c>
      <c r="R44" s="7">
        <f t="shared" si="12"/>
        <v>17.314607727053456</v>
      </c>
      <c r="S44" s="7">
        <f t="shared" si="13"/>
        <v>18.546151435527808</v>
      </c>
    </row>
    <row r="45" spans="2:19" x14ac:dyDescent="0.25">
      <c r="B45" t="s">
        <v>327</v>
      </c>
      <c r="C45" s="4">
        <v>9528</v>
      </c>
      <c r="D45" s="4">
        <v>11952</v>
      </c>
      <c r="E45" s="4">
        <v>21480</v>
      </c>
      <c r="G45" t="s">
        <v>327</v>
      </c>
      <c r="H45" s="4">
        <v>60476</v>
      </c>
      <c r="I45" s="4">
        <v>66600</v>
      </c>
      <c r="J45" s="4">
        <v>127076</v>
      </c>
      <c r="L45">
        <f t="shared" si="11"/>
        <v>0.27167265156271653</v>
      </c>
      <c r="M45">
        <f t="shared" si="14"/>
        <v>0.34078836392501971</v>
      </c>
      <c r="O45">
        <f t="shared" si="15"/>
        <v>0.28202306735667398</v>
      </c>
      <c r="P45">
        <f t="shared" si="16"/>
        <v>0.31058165695407253</v>
      </c>
      <c r="R45" s="7">
        <f t="shared" si="12"/>
        <v>15.755010252000796</v>
      </c>
      <c r="S45" s="7">
        <f t="shared" si="13"/>
        <v>17.945945945945947</v>
      </c>
    </row>
    <row r="46" spans="2:19" x14ac:dyDescent="0.25">
      <c r="B46" t="s">
        <v>328</v>
      </c>
      <c r="C46" s="4">
        <v>11462</v>
      </c>
      <c r="D46" s="4">
        <v>11201</v>
      </c>
      <c r="E46" s="4">
        <v>22663</v>
      </c>
      <c r="G46" t="s">
        <v>328</v>
      </c>
      <c r="H46" s="4">
        <v>94070</v>
      </c>
      <c r="I46" s="4">
        <v>82210</v>
      </c>
      <c r="J46" s="4">
        <v>176280</v>
      </c>
      <c r="L46">
        <f t="shared" si="11"/>
        <v>0.32681695342273892</v>
      </c>
      <c r="M46">
        <f t="shared" si="14"/>
        <v>0.31937503884907514</v>
      </c>
      <c r="O46">
        <f t="shared" si="15"/>
        <v>0.43868493197702102</v>
      </c>
      <c r="P46">
        <f t="shared" si="16"/>
        <v>0.38337714742033485</v>
      </c>
      <c r="R46" s="7">
        <f t="shared" si="12"/>
        <v>12.184543425108961</v>
      </c>
      <c r="S46" s="7">
        <f t="shared" si="13"/>
        <v>13.624863155333902</v>
      </c>
    </row>
    <row r="47" spans="2:19" x14ac:dyDescent="0.25">
      <c r="B47" t="s">
        <v>321</v>
      </c>
      <c r="C47" s="4">
        <v>1929</v>
      </c>
      <c r="D47" s="4">
        <v>1607</v>
      </c>
      <c r="E47" s="4">
        <v>3536</v>
      </c>
      <c r="G47" t="s">
        <v>321</v>
      </c>
      <c r="H47" s="4">
        <v>10509</v>
      </c>
      <c r="I47" s="4">
        <v>14741</v>
      </c>
      <c r="J47" s="4">
        <v>25250</v>
      </c>
      <c r="L47">
        <f>SUM(L30:L46)</f>
        <v>52.07415568485289</v>
      </c>
      <c r="M47">
        <f>SUM(M30:M46)</f>
        <v>47.825022054869436</v>
      </c>
    </row>
    <row r="48" spans="2:19" x14ac:dyDescent="0.25">
      <c r="B48" t="s">
        <v>144</v>
      </c>
      <c r="C48" s="4">
        <v>1828254</v>
      </c>
      <c r="D48" s="4">
        <v>1678908</v>
      </c>
      <c r="E48" s="4">
        <v>3507162</v>
      </c>
      <c r="G48" t="s">
        <v>144</v>
      </c>
      <c r="H48" s="4">
        <v>10815268</v>
      </c>
      <c r="I48" s="4">
        <v>10628368</v>
      </c>
      <c r="J48" s="4">
        <v>21443636</v>
      </c>
    </row>
    <row r="50" spans="1:18" x14ac:dyDescent="0.25">
      <c r="A50" s="2" t="s">
        <v>329</v>
      </c>
    </row>
    <row r="51" spans="1:18" x14ac:dyDescent="0.25">
      <c r="B51" t="s">
        <v>330</v>
      </c>
    </row>
    <row r="52" spans="1:18" x14ac:dyDescent="0.25">
      <c r="B52" t="s">
        <v>196</v>
      </c>
      <c r="C52" t="s">
        <v>158</v>
      </c>
      <c r="D52" t="s">
        <v>28</v>
      </c>
      <c r="E52" s="16"/>
    </row>
    <row r="53" spans="1:18" x14ac:dyDescent="0.25">
      <c r="B53">
        <v>1969</v>
      </c>
      <c r="C53" s="4">
        <v>2122045</v>
      </c>
      <c r="D53" s="4">
        <v>10942705</v>
      </c>
      <c r="E53">
        <f>C53/D53</f>
        <v>0.19392325754920745</v>
      </c>
    </row>
    <row r="54" spans="1:18" x14ac:dyDescent="0.25">
      <c r="B54">
        <v>1979</v>
      </c>
      <c r="C54" s="4">
        <v>2643956</v>
      </c>
      <c r="D54" s="4">
        <v>15327061</v>
      </c>
      <c r="E54">
        <f>C54/D54</f>
        <v>0.17250247780706296</v>
      </c>
    </row>
    <row r="55" spans="1:18" x14ac:dyDescent="0.25">
      <c r="B55">
        <v>1989</v>
      </c>
      <c r="C55" s="4">
        <v>3507160</v>
      </c>
      <c r="D55" s="4">
        <v>21448774</v>
      </c>
      <c r="E55" s="37">
        <f>C55/D55</f>
        <v>0.1635133084995907</v>
      </c>
    </row>
    <row r="56" spans="1:18" x14ac:dyDescent="0.25">
      <c r="B56">
        <v>1999</v>
      </c>
      <c r="C56" s="4">
        <v>4392196</v>
      </c>
      <c r="D56" s="4">
        <v>28686607</v>
      </c>
      <c r="E56" s="37">
        <f>C56/D56</f>
        <v>0.15310963753921822</v>
      </c>
    </row>
    <row r="57" spans="1:18" x14ac:dyDescent="0.25">
      <c r="B57">
        <v>2009</v>
      </c>
      <c r="C57" s="82">
        <v>5442711</v>
      </c>
      <c r="D57">
        <v>38610097</v>
      </c>
      <c r="E57" s="37">
        <f>C57/D57</f>
        <v>0.1409660017171156</v>
      </c>
    </row>
    <row r="58" spans="1:18" x14ac:dyDescent="0.25">
      <c r="B58" t="s">
        <v>331</v>
      </c>
    </row>
    <row r="59" spans="1:18" x14ac:dyDescent="0.25">
      <c r="C59" t="s">
        <v>179</v>
      </c>
      <c r="D59" t="s">
        <v>28</v>
      </c>
    </row>
    <row r="60" spans="1:18" x14ac:dyDescent="0.25">
      <c r="B60" t="s">
        <v>332</v>
      </c>
      <c r="C60">
        <v>2.2000000000000002</v>
      </c>
      <c r="D60">
        <v>3.4</v>
      </c>
    </row>
    <row r="61" spans="1:18" x14ac:dyDescent="0.25">
      <c r="B61" t="s">
        <v>333</v>
      </c>
      <c r="C61">
        <v>2.8</v>
      </c>
      <c r="D61">
        <v>3.4</v>
      </c>
    </row>
    <row r="62" spans="1:18" x14ac:dyDescent="0.25">
      <c r="B62" t="s">
        <v>334</v>
      </c>
      <c r="C62">
        <v>2.2999999999999998</v>
      </c>
      <c r="D62">
        <v>2.9</v>
      </c>
    </row>
    <row r="64" spans="1:18" x14ac:dyDescent="0.25">
      <c r="B64" t="s">
        <v>335</v>
      </c>
      <c r="R64" t="s">
        <v>388</v>
      </c>
    </row>
    <row r="65" spans="2:19" x14ac:dyDescent="0.25">
      <c r="B65" t="s">
        <v>310</v>
      </c>
      <c r="G65" t="s">
        <v>28</v>
      </c>
      <c r="L65" t="s">
        <v>158</v>
      </c>
      <c r="O65" t="s">
        <v>28</v>
      </c>
      <c r="R65">
        <v>1999</v>
      </c>
      <c r="S65">
        <v>1999</v>
      </c>
    </row>
    <row r="66" spans="2:19" x14ac:dyDescent="0.25">
      <c r="B66" t="s">
        <v>246</v>
      </c>
      <c r="C66" t="s">
        <v>222</v>
      </c>
      <c r="D66" t="s">
        <v>217</v>
      </c>
      <c r="E66" t="s">
        <v>144</v>
      </c>
      <c r="G66" t="s">
        <v>246</v>
      </c>
      <c r="H66" t="s">
        <v>222</v>
      </c>
      <c r="I66" t="s">
        <v>223</v>
      </c>
      <c r="J66" t="s">
        <v>144</v>
      </c>
      <c r="L66" t="s">
        <v>222</v>
      </c>
      <c r="M66" t="s">
        <v>223</v>
      </c>
      <c r="O66" t="s">
        <v>222</v>
      </c>
      <c r="P66" t="s">
        <v>217</v>
      </c>
      <c r="R66" t="s">
        <v>222</v>
      </c>
      <c r="S66" t="s">
        <v>223</v>
      </c>
    </row>
    <row r="67" spans="2:19" x14ac:dyDescent="0.25">
      <c r="B67" t="s">
        <v>322</v>
      </c>
      <c r="C67" s="4">
        <v>352462</v>
      </c>
      <c r="D67" s="4">
        <v>355120</v>
      </c>
      <c r="E67" s="4">
        <f t="shared" ref="E67:E85" si="17">SUM(C67:D67)</f>
        <v>707582</v>
      </c>
      <c r="G67" t="s">
        <v>322</v>
      </c>
      <c r="H67" s="4">
        <v>2242966</v>
      </c>
      <c r="I67" s="4">
        <v>2291936</v>
      </c>
      <c r="J67" s="4">
        <v>4534902</v>
      </c>
      <c r="L67">
        <f t="shared" ref="L67:L83" si="18">C67/E$85*100</f>
        <v>8.0247329581831046</v>
      </c>
      <c r="M67">
        <f>D67/E$85*100</f>
        <v>8.0852493832242445</v>
      </c>
      <c r="O67">
        <f>H67/J$85*100</f>
        <v>7.8190267029212865</v>
      </c>
      <c r="P67">
        <f>I67/J$85*100</f>
        <v>7.9897371540124107</v>
      </c>
      <c r="R67" s="7">
        <f>C67/H67*100</f>
        <v>15.714103557521602</v>
      </c>
      <c r="S67" s="7">
        <f>D67/I67*100</f>
        <v>15.494324448850231</v>
      </c>
    </row>
    <row r="68" spans="2:19" x14ac:dyDescent="0.25">
      <c r="B68" s="15" t="s">
        <v>323</v>
      </c>
      <c r="C68" s="4">
        <v>309023</v>
      </c>
      <c r="D68" s="4">
        <v>310927</v>
      </c>
      <c r="E68" s="4">
        <f t="shared" si="17"/>
        <v>619950</v>
      </c>
      <c r="G68" s="15" t="s">
        <v>323</v>
      </c>
      <c r="H68" s="4">
        <v>1962556</v>
      </c>
      <c r="I68" s="4">
        <v>2000580</v>
      </c>
      <c r="J68" s="4">
        <v>3963136</v>
      </c>
      <c r="K68" s="4"/>
      <c r="L68">
        <f t="shared" si="18"/>
        <v>7.0357288244877951</v>
      </c>
      <c r="M68">
        <f t="shared" ref="M68:M83" si="19">D68/E$85*100</f>
        <v>7.0790784382117735</v>
      </c>
      <c r="O68">
        <f t="shared" ref="O68:O83" si="20">H68/J$85*100</f>
        <v>6.8415115387296943</v>
      </c>
      <c r="P68">
        <f t="shared" ref="P68:P83" si="21">I68/J$85*100</f>
        <v>6.9740640033465802</v>
      </c>
      <c r="R68" s="7">
        <f t="shared" ref="R68:R83" si="22">C68/H68*100</f>
        <v>15.745945593399627</v>
      </c>
      <c r="S68" s="7">
        <f t="shared" ref="S68:S83" si="23">D68/I68*100</f>
        <v>15.541842865568986</v>
      </c>
    </row>
    <row r="69" spans="2:19" x14ac:dyDescent="0.25">
      <c r="B69" s="15" t="s">
        <v>320</v>
      </c>
      <c r="C69" s="4">
        <v>337015</v>
      </c>
      <c r="D69" s="4">
        <v>344306</v>
      </c>
      <c r="E69" s="4">
        <f t="shared" si="17"/>
        <v>681321</v>
      </c>
      <c r="G69" s="15" t="s">
        <v>320</v>
      </c>
      <c r="H69" s="4">
        <v>2003655</v>
      </c>
      <c r="I69" s="4">
        <v>2034980</v>
      </c>
      <c r="J69" s="4">
        <f>SUM(H69:I69)</f>
        <v>4038635</v>
      </c>
      <c r="L69">
        <f t="shared" si="18"/>
        <v>7.673041002723922</v>
      </c>
      <c r="M69">
        <f t="shared" si="19"/>
        <v>7.8390399699831246</v>
      </c>
      <c r="O69">
        <f t="shared" si="20"/>
        <v>6.9847835180924491</v>
      </c>
      <c r="P69">
        <f t="shared" si="21"/>
        <v>7.0939831276580909</v>
      </c>
      <c r="R69" s="7">
        <f t="shared" si="22"/>
        <v>16.820011429113297</v>
      </c>
      <c r="S69" s="7">
        <f t="shared" si="23"/>
        <v>16.919380043047106</v>
      </c>
    </row>
    <row r="70" spans="2:19" x14ac:dyDescent="0.25">
      <c r="B70" t="s">
        <v>311</v>
      </c>
      <c r="C70" s="4">
        <v>281107</v>
      </c>
      <c r="D70" s="4">
        <v>275864</v>
      </c>
      <c r="E70" s="4">
        <f t="shared" si="17"/>
        <v>556971</v>
      </c>
      <c r="G70" t="s">
        <v>311</v>
      </c>
      <c r="H70" s="4">
        <v>1721194</v>
      </c>
      <c r="I70" s="4">
        <v>1681984</v>
      </c>
      <c r="J70" s="4">
        <f t="shared" ref="J70:J85" si="24">SUM(H70:I70)</f>
        <v>3403178</v>
      </c>
      <c r="L70">
        <f t="shared" si="18"/>
        <v>6.4001469879759467</v>
      </c>
      <c r="M70">
        <f t="shared" si="19"/>
        <v>6.2807761766551398</v>
      </c>
      <c r="O70">
        <f t="shared" si="20"/>
        <v>6.0001185247158899</v>
      </c>
      <c r="P70">
        <f t="shared" si="21"/>
        <v>5.8634316391271</v>
      </c>
      <c r="R70" s="7">
        <f t="shared" si="22"/>
        <v>16.332092721680418</v>
      </c>
      <c r="S70" s="7">
        <f t="shared" si="23"/>
        <v>16.401107263802746</v>
      </c>
    </row>
    <row r="71" spans="2:19" x14ac:dyDescent="0.25">
      <c r="B71" t="s">
        <v>312</v>
      </c>
      <c r="C71" s="4">
        <v>224623</v>
      </c>
      <c r="D71" s="4">
        <v>176491</v>
      </c>
      <c r="E71" s="4">
        <f t="shared" si="17"/>
        <v>401114</v>
      </c>
      <c r="G71" t="s">
        <v>312</v>
      </c>
      <c r="H71" s="4">
        <v>1504389</v>
      </c>
      <c r="I71" s="4">
        <v>1328529</v>
      </c>
      <c r="J71" s="4">
        <f t="shared" si="24"/>
        <v>2832918</v>
      </c>
      <c r="L71">
        <f t="shared" si="18"/>
        <v>5.1141388043702971</v>
      </c>
      <c r="M71">
        <f t="shared" si="19"/>
        <v>4.0182860692009195</v>
      </c>
      <c r="O71">
        <f t="shared" si="20"/>
        <v>5.2443317297636485</v>
      </c>
      <c r="P71">
        <f t="shared" si="21"/>
        <v>4.6312800669316045</v>
      </c>
      <c r="R71" s="7">
        <f t="shared" si="22"/>
        <v>14.93117803972244</v>
      </c>
      <c r="S71" s="7">
        <f t="shared" si="23"/>
        <v>13.284693070305579</v>
      </c>
    </row>
    <row r="72" spans="2:19" x14ac:dyDescent="0.25">
      <c r="B72" t="s">
        <v>313</v>
      </c>
      <c r="C72" s="4">
        <v>162798</v>
      </c>
      <c r="D72" s="4">
        <v>127695</v>
      </c>
      <c r="E72" s="4">
        <f t="shared" si="17"/>
        <v>290493</v>
      </c>
      <c r="G72" t="s">
        <v>313</v>
      </c>
      <c r="H72" s="4">
        <v>1164594</v>
      </c>
      <c r="I72" s="4">
        <v>1094909</v>
      </c>
      <c r="J72" s="4">
        <f t="shared" si="24"/>
        <v>2259503</v>
      </c>
      <c r="L72">
        <f t="shared" si="18"/>
        <v>3.706528579325695</v>
      </c>
      <c r="M72">
        <f t="shared" si="19"/>
        <v>2.9073156115983894</v>
      </c>
      <c r="O72">
        <f t="shared" si="20"/>
        <v>4.0597992051871996</v>
      </c>
      <c r="P72">
        <f t="shared" si="21"/>
        <v>3.8168758279300006</v>
      </c>
      <c r="R72" s="7">
        <f t="shared" si="22"/>
        <v>13.978948886908228</v>
      </c>
      <c r="S72" s="7">
        <f t="shared" si="23"/>
        <v>11.662613057340838</v>
      </c>
    </row>
    <row r="73" spans="2:19" x14ac:dyDescent="0.25">
      <c r="B73" t="s">
        <v>314</v>
      </c>
      <c r="C73" s="4">
        <v>123137</v>
      </c>
      <c r="D73" s="4">
        <v>100423</v>
      </c>
      <c r="E73" s="4">
        <f t="shared" si="17"/>
        <v>223560</v>
      </c>
      <c r="G73" t="s">
        <v>314</v>
      </c>
      <c r="H73" s="4">
        <v>845230</v>
      </c>
      <c r="I73" s="4">
        <v>840692</v>
      </c>
      <c r="J73" s="4">
        <f t="shared" si="24"/>
        <v>1685922</v>
      </c>
      <c r="L73">
        <f t="shared" si="18"/>
        <v>2.8035406434503378</v>
      </c>
      <c r="M73">
        <f t="shared" si="19"/>
        <v>2.2863961444343559</v>
      </c>
      <c r="O73">
        <f t="shared" si="20"/>
        <v>2.946489576797044</v>
      </c>
      <c r="P73">
        <f t="shared" si="21"/>
        <v>2.9306700132468801</v>
      </c>
      <c r="R73" s="7">
        <f t="shared" si="22"/>
        <v>14.56846065567952</v>
      </c>
      <c r="S73" s="7">
        <f t="shared" si="23"/>
        <v>11.945278413497453</v>
      </c>
    </row>
    <row r="74" spans="2:19" x14ac:dyDescent="0.25">
      <c r="B74" t="s">
        <v>315</v>
      </c>
      <c r="C74" s="4">
        <v>113502</v>
      </c>
      <c r="D74" s="4">
        <v>90340</v>
      </c>
      <c r="E74" s="4">
        <f t="shared" si="17"/>
        <v>203842</v>
      </c>
      <c r="G74" t="s">
        <v>315</v>
      </c>
      <c r="H74" s="4">
        <v>723749</v>
      </c>
      <c r="I74" s="4">
        <v>695263</v>
      </c>
      <c r="J74" s="4">
        <f t="shared" si="24"/>
        <v>1419012</v>
      </c>
      <c r="L74">
        <f t="shared" si="18"/>
        <v>2.5841742945897677</v>
      </c>
      <c r="M74">
        <f t="shared" si="19"/>
        <v>2.0568298864622614</v>
      </c>
      <c r="O74">
        <f t="shared" si="20"/>
        <v>2.5230042529456878</v>
      </c>
      <c r="P74">
        <f t="shared" si="21"/>
        <v>2.4237014571568012</v>
      </c>
      <c r="R74" s="7">
        <f t="shared" si="22"/>
        <v>15.682508715037949</v>
      </c>
      <c r="S74" s="7">
        <f t="shared" si="23"/>
        <v>12.993644131788978</v>
      </c>
    </row>
    <row r="75" spans="2:19" x14ac:dyDescent="0.25">
      <c r="B75" t="s">
        <v>316</v>
      </c>
      <c r="C75" s="4">
        <v>84192</v>
      </c>
      <c r="D75" s="4">
        <v>70808</v>
      </c>
      <c r="E75" s="4">
        <f t="shared" si="17"/>
        <v>155000</v>
      </c>
      <c r="G75" t="s">
        <v>316</v>
      </c>
      <c r="H75" s="4">
        <v>516989</v>
      </c>
      <c r="I75" s="4">
        <v>516502</v>
      </c>
      <c r="J75" s="4">
        <f t="shared" si="24"/>
        <v>1033491</v>
      </c>
      <c r="L75">
        <f t="shared" si="18"/>
        <v>1.916854348030006</v>
      </c>
      <c r="M75">
        <f t="shared" si="19"/>
        <v>1.6121320633232215</v>
      </c>
      <c r="O75">
        <f t="shared" si="20"/>
        <v>1.8022345394966186</v>
      </c>
      <c r="P75">
        <f t="shared" si="21"/>
        <v>1.8005368472425576</v>
      </c>
      <c r="R75" s="7">
        <f t="shared" si="22"/>
        <v>16.285066026549888</v>
      </c>
      <c r="S75" s="7">
        <f t="shared" si="23"/>
        <v>13.709143430228732</v>
      </c>
    </row>
    <row r="76" spans="2:19" x14ac:dyDescent="0.25">
      <c r="B76" t="s">
        <v>317</v>
      </c>
      <c r="C76" s="4">
        <v>69798</v>
      </c>
      <c r="D76" s="4">
        <v>58367</v>
      </c>
      <c r="E76" s="4">
        <f t="shared" si="17"/>
        <v>128165</v>
      </c>
      <c r="G76" t="s">
        <v>317</v>
      </c>
      <c r="H76" s="4">
        <v>418987</v>
      </c>
      <c r="I76" s="4">
        <v>419341</v>
      </c>
      <c r="J76" s="4">
        <f t="shared" si="24"/>
        <v>838328</v>
      </c>
      <c r="L76">
        <f t="shared" si="18"/>
        <v>1.5891367325137584</v>
      </c>
      <c r="M76">
        <f t="shared" si="19"/>
        <v>1.3288796765900246</v>
      </c>
      <c r="O76">
        <f t="shared" si="20"/>
        <v>1.4605975040089243</v>
      </c>
      <c r="P76">
        <f t="shared" si="21"/>
        <v>1.4618315554625949</v>
      </c>
      <c r="R76" s="7">
        <f t="shared" si="22"/>
        <v>16.658750748829913</v>
      </c>
      <c r="S76" s="7">
        <f t="shared" si="23"/>
        <v>13.918743933934435</v>
      </c>
    </row>
    <row r="77" spans="2:19" x14ac:dyDescent="0.25">
      <c r="B77" t="s">
        <v>318</v>
      </c>
      <c r="C77" s="4">
        <v>54840</v>
      </c>
      <c r="D77" s="4">
        <v>48982</v>
      </c>
      <c r="E77" s="4">
        <f t="shared" si="17"/>
        <v>103822</v>
      </c>
      <c r="G77" t="s">
        <v>318</v>
      </c>
      <c r="H77" s="4">
        <v>340167</v>
      </c>
      <c r="I77" s="4">
        <v>344639</v>
      </c>
      <c r="J77" s="4">
        <f t="shared" si="24"/>
        <v>684806</v>
      </c>
      <c r="L77">
        <f t="shared" si="18"/>
        <v>1.2485781599910386</v>
      </c>
      <c r="M77">
        <f t="shared" si="19"/>
        <v>1.1152052412961533</v>
      </c>
      <c r="O77">
        <f t="shared" si="20"/>
        <v>1.1858293244091194</v>
      </c>
      <c r="P77">
        <f t="shared" si="21"/>
        <v>1.201418810569616</v>
      </c>
      <c r="R77" s="7">
        <f t="shared" si="22"/>
        <v>16.121493266542611</v>
      </c>
      <c r="S77" s="7">
        <f t="shared" si="23"/>
        <v>14.212552845151013</v>
      </c>
    </row>
    <row r="78" spans="2:19" x14ac:dyDescent="0.25">
      <c r="B78" t="s">
        <v>319</v>
      </c>
      <c r="C78" s="4">
        <v>40107</v>
      </c>
      <c r="D78" s="4">
        <v>33143</v>
      </c>
      <c r="E78" s="4">
        <f t="shared" si="17"/>
        <v>73250</v>
      </c>
      <c r="G78" t="s">
        <v>319</v>
      </c>
      <c r="H78" s="4">
        <v>236325</v>
      </c>
      <c r="I78" s="4">
        <v>223591</v>
      </c>
      <c r="J78" s="4">
        <f t="shared" si="24"/>
        <v>459916</v>
      </c>
      <c r="L78">
        <f t="shared" si="18"/>
        <v>0.91314230967834764</v>
      </c>
      <c r="M78">
        <f t="shared" si="19"/>
        <v>0.75458836536438723</v>
      </c>
      <c r="O78">
        <f t="shared" si="20"/>
        <v>0.82383392595691274</v>
      </c>
      <c r="P78">
        <f t="shared" si="21"/>
        <v>0.77944293383532037</v>
      </c>
      <c r="R78" s="7">
        <f t="shared" si="22"/>
        <v>16.97112027927642</v>
      </c>
      <c r="S78" s="7">
        <f t="shared" si="23"/>
        <v>14.823047439297646</v>
      </c>
    </row>
    <row r="79" spans="2:19" x14ac:dyDescent="0.25">
      <c r="B79" t="s">
        <v>324</v>
      </c>
      <c r="C79" s="4">
        <v>39207</v>
      </c>
      <c r="D79" s="4">
        <v>30966</v>
      </c>
      <c r="E79" s="4">
        <f t="shared" si="17"/>
        <v>70173</v>
      </c>
      <c r="G79" t="s">
        <v>324</v>
      </c>
      <c r="H79" s="4">
        <v>214715</v>
      </c>
      <c r="I79" s="4">
        <v>194513</v>
      </c>
      <c r="J79" s="4">
        <f t="shared" si="24"/>
        <v>409228</v>
      </c>
      <c r="L79">
        <f t="shared" si="18"/>
        <v>0.89265142083823212</v>
      </c>
      <c r="M79">
        <f t="shared" si="19"/>
        <v>0.70502318202557446</v>
      </c>
      <c r="O79">
        <f t="shared" si="20"/>
        <v>0.7485010109461061</v>
      </c>
      <c r="P79">
        <f t="shared" si="21"/>
        <v>0.67807641358153803</v>
      </c>
      <c r="R79" s="7">
        <f t="shared" si="22"/>
        <v>18.260019095079524</v>
      </c>
      <c r="S79" s="7">
        <f t="shared" si="23"/>
        <v>15.919758576547583</v>
      </c>
    </row>
    <row r="80" spans="2:19" x14ac:dyDescent="0.25">
      <c r="B80" t="s">
        <v>325</v>
      </c>
      <c r="C80" s="4">
        <v>33400</v>
      </c>
      <c r="D80" s="4">
        <v>25395</v>
      </c>
      <c r="E80" s="4">
        <f t="shared" si="17"/>
        <v>58795</v>
      </c>
      <c r="G80" t="s">
        <v>325</v>
      </c>
      <c r="H80" s="4">
        <v>160364</v>
      </c>
      <c r="I80" s="4">
        <v>140969</v>
      </c>
      <c r="J80" s="4">
        <f t="shared" si="24"/>
        <v>301333</v>
      </c>
      <c r="L80">
        <f t="shared" si="18"/>
        <v>0.76043965251095347</v>
      </c>
      <c r="M80">
        <f t="shared" si="19"/>
        <v>0.57818458010525942</v>
      </c>
      <c r="O80">
        <f t="shared" si="20"/>
        <v>0.55903228055497456</v>
      </c>
      <c r="P80">
        <f t="shared" si="21"/>
        <v>0.49142090218224921</v>
      </c>
      <c r="R80" s="7">
        <f t="shared" si="22"/>
        <v>20.827617170936119</v>
      </c>
      <c r="S80" s="7">
        <f t="shared" si="23"/>
        <v>18.014598954380041</v>
      </c>
    </row>
    <row r="81" spans="1:19" x14ac:dyDescent="0.25">
      <c r="B81" t="s">
        <v>326</v>
      </c>
      <c r="C81" s="4">
        <v>22683</v>
      </c>
      <c r="D81" s="4">
        <v>18984</v>
      </c>
      <c r="E81" s="4">
        <f t="shared" si="17"/>
        <v>41667</v>
      </c>
      <c r="G81" t="s">
        <v>326</v>
      </c>
      <c r="H81" s="4">
        <v>135524</v>
      </c>
      <c r="I81" s="4">
        <v>118601</v>
      </c>
      <c r="J81" s="4">
        <f t="shared" si="24"/>
        <v>254125</v>
      </c>
      <c r="L81">
        <f t="shared" si="18"/>
        <v>0.51643870173371131</v>
      </c>
      <c r="M81">
        <f t="shared" si="19"/>
        <v>0.4322211486008366</v>
      </c>
      <c r="O81">
        <f t="shared" si="20"/>
        <v>0.47243951753468588</v>
      </c>
      <c r="P81">
        <f t="shared" si="21"/>
        <v>0.41344558321132258</v>
      </c>
      <c r="R81" s="7">
        <f t="shared" si="22"/>
        <v>16.737256869631949</v>
      </c>
      <c r="S81" s="7">
        <f t="shared" si="23"/>
        <v>16.006610399575045</v>
      </c>
    </row>
    <row r="82" spans="1:19" x14ac:dyDescent="0.25">
      <c r="B82" t="s">
        <v>327</v>
      </c>
      <c r="C82" s="4">
        <v>13422</v>
      </c>
      <c r="D82" s="4">
        <v>12388</v>
      </c>
      <c r="E82" s="4">
        <f t="shared" si="17"/>
        <v>25810</v>
      </c>
      <c r="G82" t="s">
        <v>327</v>
      </c>
      <c r="H82" s="4">
        <v>81620</v>
      </c>
      <c r="I82" s="4">
        <v>79166</v>
      </c>
      <c r="J82" s="4">
        <f t="shared" si="24"/>
        <v>160786</v>
      </c>
      <c r="L82">
        <f t="shared" si="18"/>
        <v>0.30558745556892269</v>
      </c>
      <c r="M82">
        <f t="shared" si="19"/>
        <v>0.28204570105705667</v>
      </c>
      <c r="O82">
        <f t="shared" si="20"/>
        <v>0.28452903855539291</v>
      </c>
      <c r="P82">
        <f t="shared" si="21"/>
        <v>0.27597434288503103</v>
      </c>
      <c r="R82" s="7">
        <f t="shared" si="22"/>
        <v>16.444498897329083</v>
      </c>
      <c r="S82" s="7">
        <f t="shared" si="23"/>
        <v>15.648131773741254</v>
      </c>
    </row>
    <row r="83" spans="1:19" x14ac:dyDescent="0.25">
      <c r="B83" t="s">
        <v>328</v>
      </c>
      <c r="C83" s="4">
        <v>14731</v>
      </c>
      <c r="D83" s="4">
        <v>12850</v>
      </c>
      <c r="E83" s="4">
        <f t="shared" si="17"/>
        <v>27581</v>
      </c>
      <c r="G83" t="s">
        <v>328</v>
      </c>
      <c r="H83" s="4">
        <v>121038</v>
      </c>
      <c r="I83" s="4">
        <v>95300</v>
      </c>
      <c r="J83" s="4">
        <f t="shared" si="24"/>
        <v>216338</v>
      </c>
      <c r="L83">
        <f t="shared" si="18"/>
        <v>0.33539031500415739</v>
      </c>
      <c r="M83">
        <f t="shared" si="19"/>
        <v>0.29256435732831598</v>
      </c>
      <c r="O83">
        <f t="shared" si="20"/>
        <v>0.42194101652373983</v>
      </c>
      <c r="P83">
        <f t="shared" si="21"/>
        <v>0.33221780659555183</v>
      </c>
      <c r="R83" s="7">
        <f t="shared" si="22"/>
        <v>12.170558006576448</v>
      </c>
      <c r="S83" s="7">
        <f t="shared" si="23"/>
        <v>13.483735571878281</v>
      </c>
    </row>
    <row r="84" spans="1:19" x14ac:dyDescent="0.25">
      <c r="B84" t="s">
        <v>321</v>
      </c>
      <c r="C84" s="4">
        <v>11843</v>
      </c>
      <c r="D84" s="4">
        <v>11257</v>
      </c>
      <c r="E84" s="4">
        <f t="shared" si="17"/>
        <v>23100</v>
      </c>
      <c r="G84" t="s">
        <v>321</v>
      </c>
      <c r="H84" s="4">
        <v>86956</v>
      </c>
      <c r="I84" s="4">
        <v>103487</v>
      </c>
      <c r="J84" s="4">
        <f t="shared" si="24"/>
        <v>190443</v>
      </c>
    </row>
    <row r="85" spans="1:19" x14ac:dyDescent="0.25">
      <c r="B85" t="s">
        <v>144</v>
      </c>
      <c r="C85" s="4">
        <f>SUM(C67:C84)</f>
        <v>2287890</v>
      </c>
      <c r="D85" s="4">
        <f>SUM(D67:D84)</f>
        <v>2104306</v>
      </c>
      <c r="E85" s="4">
        <f t="shared" si="17"/>
        <v>4392196</v>
      </c>
      <c r="G85" t="s">
        <v>144</v>
      </c>
      <c r="H85" s="4">
        <f>SUM(H67:H84)</f>
        <v>14481018</v>
      </c>
      <c r="I85" s="4">
        <f>SUM(I67:I84)</f>
        <v>14204982</v>
      </c>
      <c r="J85" s="4">
        <f t="shared" si="24"/>
        <v>28686000</v>
      </c>
    </row>
    <row r="88" spans="1:19" x14ac:dyDescent="0.25">
      <c r="A88" s="2" t="s">
        <v>358</v>
      </c>
      <c r="Q88" t="s">
        <v>388</v>
      </c>
    </row>
    <row r="89" spans="1:19" x14ac:dyDescent="0.25">
      <c r="B89" t="s">
        <v>310</v>
      </c>
      <c r="G89" t="s">
        <v>28</v>
      </c>
      <c r="L89" t="s">
        <v>28</v>
      </c>
      <c r="N89" t="s">
        <v>158</v>
      </c>
      <c r="Q89">
        <v>2009</v>
      </c>
      <c r="R89">
        <v>2009</v>
      </c>
    </row>
    <row r="90" spans="1:19" x14ac:dyDescent="0.25">
      <c r="B90" t="s">
        <v>246</v>
      </c>
      <c r="C90" t="s">
        <v>222</v>
      </c>
      <c r="D90" t="s">
        <v>217</v>
      </c>
      <c r="E90" t="s">
        <v>144</v>
      </c>
      <c r="G90" t="s">
        <v>246</v>
      </c>
      <c r="H90" t="s">
        <v>222</v>
      </c>
      <c r="I90" t="s">
        <v>223</v>
      </c>
      <c r="J90" t="s">
        <v>144</v>
      </c>
      <c r="L90" t="s">
        <v>222</v>
      </c>
      <c r="M90" t="s">
        <v>217</v>
      </c>
      <c r="N90" t="s">
        <v>222</v>
      </c>
      <c r="O90" t="s">
        <v>217</v>
      </c>
      <c r="Q90" t="s">
        <v>222</v>
      </c>
      <c r="R90" t="s">
        <v>223</v>
      </c>
    </row>
    <row r="91" spans="1:19" x14ac:dyDescent="0.25">
      <c r="B91" t="s">
        <v>322</v>
      </c>
      <c r="C91">
        <v>472132</v>
      </c>
      <c r="D91">
        <v>475717</v>
      </c>
      <c r="E91" s="4">
        <f t="shared" ref="E91:E109" si="25">SUM(C91:D91)</f>
        <v>947849</v>
      </c>
      <c r="G91" t="s">
        <v>322</v>
      </c>
      <c r="H91" s="4">
        <v>2938867</v>
      </c>
      <c r="I91" s="4">
        <v>3000439</v>
      </c>
      <c r="J91" s="4">
        <f>SUM(H91:I91)</f>
        <v>5939306</v>
      </c>
      <c r="L91" s="4">
        <f>H91/J$109*100</f>
        <v>7.6116540188956279</v>
      </c>
      <c r="M91" s="4">
        <f>-(I91/J$109)*100</f>
        <v>-7.771125257727272</v>
      </c>
      <c r="N91" s="8">
        <f t="shared" ref="N91:N107" si="26">C91/E$109*100</f>
        <v>8.6745741230794735</v>
      </c>
      <c r="O91" s="8">
        <f>-(D91/E$109)*100</f>
        <v>-8.7404420333910799</v>
      </c>
      <c r="Q91" s="7">
        <f>C91/H91*100</f>
        <v>16.065102639894899</v>
      </c>
      <c r="R91" s="7">
        <f>D91/I91*100</f>
        <v>15.854913231030526</v>
      </c>
    </row>
    <row r="92" spans="1:19" x14ac:dyDescent="0.25">
      <c r="B92" s="15" t="s">
        <v>323</v>
      </c>
      <c r="C92">
        <v>407578</v>
      </c>
      <c r="D92">
        <v>407362</v>
      </c>
      <c r="E92" s="4">
        <f t="shared" si="25"/>
        <v>814940</v>
      </c>
      <c r="G92" s="15" t="s">
        <v>323</v>
      </c>
      <c r="H92" s="4">
        <v>2765047</v>
      </c>
      <c r="I92" s="4">
        <v>2832669</v>
      </c>
      <c r="J92" s="4">
        <f t="shared" ref="J92:J109" si="27">SUM(H92:I92)</f>
        <v>5597716</v>
      </c>
      <c r="L92" s="4">
        <f t="shared" ref="L92:L106" si="28">H92/J$109*100</f>
        <v>7.1614608997226812</v>
      </c>
      <c r="M92" s="4">
        <f t="shared" ref="M92:M107" si="29">-(I92/J$109)*100</f>
        <v>-7.3366016148573783</v>
      </c>
      <c r="N92" s="8">
        <f t="shared" si="26"/>
        <v>7.4885107807487845</v>
      </c>
      <c r="O92" s="8">
        <f t="shared" ref="O92:O107" si="30">-(D92/E$109)*100</f>
        <v>-7.4845421702530226</v>
      </c>
      <c r="Q92" s="7">
        <f t="shared" ref="Q92:Q107" si="31">C92/H92*100</f>
        <v>14.740364268672469</v>
      </c>
      <c r="R92" s="7">
        <f t="shared" ref="R92:R107" si="32">D92/I92*100</f>
        <v>14.380854240294225</v>
      </c>
    </row>
    <row r="93" spans="1:19" x14ac:dyDescent="0.25">
      <c r="B93" s="15" t="s">
        <v>320</v>
      </c>
      <c r="C93">
        <v>365861</v>
      </c>
      <c r="D93">
        <v>370855</v>
      </c>
      <c r="E93" s="4">
        <f t="shared" si="25"/>
        <v>736716</v>
      </c>
      <c r="G93" s="15" t="s">
        <v>320</v>
      </c>
      <c r="H93" s="4">
        <v>2469542</v>
      </c>
      <c r="I93" s="4">
        <v>2565313</v>
      </c>
      <c r="J93" s="4">
        <f t="shared" si="27"/>
        <v>5034855</v>
      </c>
      <c r="L93" s="4">
        <f t="shared" si="28"/>
        <v>6.3961041071717588</v>
      </c>
      <c r="M93" s="4">
        <f t="shared" si="29"/>
        <v>-6.6441506220510149</v>
      </c>
      <c r="N93" s="8">
        <f t="shared" si="26"/>
        <v>6.7220361323612448</v>
      </c>
      <c r="O93" s="8">
        <f t="shared" si="30"/>
        <v>-6.8137918768790033</v>
      </c>
      <c r="Q93" s="7">
        <f t="shared" si="31"/>
        <v>14.814933295323588</v>
      </c>
      <c r="R93" s="7">
        <f t="shared" si="32"/>
        <v>14.456520510362672</v>
      </c>
    </row>
    <row r="94" spans="1:19" x14ac:dyDescent="0.25">
      <c r="B94" t="s">
        <v>311</v>
      </c>
      <c r="C94">
        <v>313668</v>
      </c>
      <c r="D94">
        <v>316129</v>
      </c>
      <c r="E94" s="4">
        <f t="shared" si="25"/>
        <v>629797</v>
      </c>
      <c r="G94" t="s">
        <v>311</v>
      </c>
      <c r="H94" s="4">
        <v>2045890</v>
      </c>
      <c r="I94" s="4">
        <v>2123653</v>
      </c>
      <c r="J94" s="4">
        <f t="shared" si="27"/>
        <v>4169543</v>
      </c>
      <c r="L94" s="4">
        <f t="shared" si="28"/>
        <v>5.2988470865535504</v>
      </c>
      <c r="M94" s="4">
        <f t="shared" si="29"/>
        <v>-5.500252951967461</v>
      </c>
      <c r="N94" s="8">
        <f t="shared" si="26"/>
        <v>5.7630838749292401</v>
      </c>
      <c r="O94" s="8">
        <f t="shared" si="30"/>
        <v>-5.8083003121054935</v>
      </c>
      <c r="Q94" s="7">
        <f t="shared" si="31"/>
        <v>15.331616069290138</v>
      </c>
      <c r="R94" s="7">
        <f t="shared" si="32"/>
        <v>14.886094856363069</v>
      </c>
    </row>
    <row r="95" spans="1:19" x14ac:dyDescent="0.25">
      <c r="B95" t="s">
        <v>312</v>
      </c>
      <c r="C95">
        <v>294691</v>
      </c>
      <c r="D95">
        <v>227933</v>
      </c>
      <c r="E95" s="4">
        <f t="shared" si="25"/>
        <v>522624</v>
      </c>
      <c r="G95" t="s">
        <v>312</v>
      </c>
      <c r="H95" s="4">
        <v>2020998</v>
      </c>
      <c r="I95" s="4">
        <v>1754105</v>
      </c>
      <c r="J95" s="4">
        <f t="shared" si="27"/>
        <v>3775103</v>
      </c>
      <c r="L95" s="4">
        <f t="shared" si="28"/>
        <v>5.2343769040518078</v>
      </c>
      <c r="M95" s="4">
        <f t="shared" si="29"/>
        <v>-4.5431250794319418</v>
      </c>
      <c r="N95" s="8">
        <f t="shared" si="26"/>
        <v>5.4144157204011014</v>
      </c>
      <c r="O95" s="8">
        <f t="shared" si="30"/>
        <v>-4.187857852456248</v>
      </c>
      <c r="Q95" s="7">
        <f t="shared" si="31"/>
        <v>14.581459259237267</v>
      </c>
      <c r="R95" s="7">
        <f t="shared" si="32"/>
        <v>12.994262031064274</v>
      </c>
    </row>
    <row r="96" spans="1:19" x14ac:dyDescent="0.25">
      <c r="B96" t="s">
        <v>313</v>
      </c>
      <c r="C96">
        <v>215455</v>
      </c>
      <c r="D96">
        <v>183083</v>
      </c>
      <c r="E96" s="4">
        <f t="shared" si="25"/>
        <v>398538</v>
      </c>
      <c r="G96" t="s">
        <v>313</v>
      </c>
      <c r="H96" s="4">
        <v>1672110</v>
      </c>
      <c r="I96" s="4">
        <v>1529116</v>
      </c>
      <c r="J96" s="4">
        <f t="shared" si="27"/>
        <v>3201226</v>
      </c>
      <c r="L96" s="4">
        <f t="shared" si="28"/>
        <v>4.3307583505941469</v>
      </c>
      <c r="M96" s="4">
        <f t="shared" si="29"/>
        <v>-3.9604044506803495</v>
      </c>
      <c r="N96" s="8">
        <f t="shared" si="26"/>
        <v>3.9585971035390264</v>
      </c>
      <c r="O96" s="8">
        <f t="shared" si="30"/>
        <v>-3.3638199786834173</v>
      </c>
      <c r="Q96" s="7">
        <f t="shared" si="31"/>
        <v>12.885216881664482</v>
      </c>
      <c r="R96" s="7">
        <f t="shared" si="32"/>
        <v>11.973126957013072</v>
      </c>
    </row>
    <row r="97" spans="2:18" x14ac:dyDescent="0.25">
      <c r="B97" t="s">
        <v>314</v>
      </c>
      <c r="C97">
        <v>153975</v>
      </c>
      <c r="D97">
        <v>142868</v>
      </c>
      <c r="E97" s="4">
        <f t="shared" si="25"/>
        <v>296843</v>
      </c>
      <c r="G97" t="s">
        <v>314</v>
      </c>
      <c r="H97" s="4">
        <v>1262471</v>
      </c>
      <c r="I97" s="4">
        <v>1257035</v>
      </c>
      <c r="J97" s="4">
        <f t="shared" si="27"/>
        <v>2519506</v>
      </c>
      <c r="L97" s="4">
        <f t="shared" si="28"/>
        <v>3.2697949450891044</v>
      </c>
      <c r="M97" s="4">
        <f t="shared" si="29"/>
        <v>-3.2557157263811067</v>
      </c>
      <c r="N97" s="8">
        <f t="shared" si="26"/>
        <v>2.829012967985991</v>
      </c>
      <c r="O97" s="8">
        <f t="shared" si="30"/>
        <v>-2.6249418717988147</v>
      </c>
      <c r="Q97" s="7">
        <f t="shared" si="31"/>
        <v>12.196319757047885</v>
      </c>
      <c r="R97" s="7">
        <f t="shared" si="32"/>
        <v>11.365475106102853</v>
      </c>
    </row>
    <row r="98" spans="2:18" x14ac:dyDescent="0.25">
      <c r="B98" t="s">
        <v>315</v>
      </c>
      <c r="C98">
        <v>123409</v>
      </c>
      <c r="D98">
        <v>106733</v>
      </c>
      <c r="E98" s="4">
        <f t="shared" si="25"/>
        <v>230142</v>
      </c>
      <c r="G98" t="s">
        <v>315</v>
      </c>
      <c r="H98" s="4">
        <v>1004271</v>
      </c>
      <c r="I98" s="4">
        <v>1004361</v>
      </c>
      <c r="J98" s="4">
        <f t="shared" si="27"/>
        <v>2008632</v>
      </c>
      <c r="L98" s="4">
        <f t="shared" si="28"/>
        <v>2.6010579564200524</v>
      </c>
      <c r="M98" s="4">
        <f t="shared" si="29"/>
        <v>-2.6012910560675362</v>
      </c>
      <c r="N98" s="8">
        <f t="shared" si="26"/>
        <v>2.2674178364421702</v>
      </c>
      <c r="O98" s="8">
        <f t="shared" si="30"/>
        <v>-1.9610264076119419</v>
      </c>
      <c r="Q98" s="7">
        <f t="shared" si="31"/>
        <v>12.28841617451863</v>
      </c>
      <c r="R98" s="7">
        <f t="shared" si="32"/>
        <v>10.626955845557523</v>
      </c>
    </row>
    <row r="99" spans="2:18" x14ac:dyDescent="0.25">
      <c r="B99" t="s">
        <v>316</v>
      </c>
      <c r="C99">
        <v>95638</v>
      </c>
      <c r="D99">
        <v>77883</v>
      </c>
      <c r="E99" s="4">
        <f t="shared" si="25"/>
        <v>173521</v>
      </c>
      <c r="G99" t="s">
        <v>316</v>
      </c>
      <c r="H99" s="4">
        <v>732575</v>
      </c>
      <c r="I99" s="4">
        <v>743594</v>
      </c>
      <c r="J99" s="4">
        <f t="shared" si="27"/>
        <v>1476169</v>
      </c>
      <c r="L99" s="4">
        <f t="shared" si="28"/>
        <v>1.8973663806128225</v>
      </c>
      <c r="M99" s="4">
        <f t="shared" si="29"/>
        <v>-1.9259055474530404</v>
      </c>
      <c r="N99" s="8">
        <f t="shared" si="26"/>
        <v>1.7571757897856417</v>
      </c>
      <c r="O99" s="8">
        <f t="shared" si="30"/>
        <v>-1.4309596816733428</v>
      </c>
      <c r="Q99" s="7">
        <f t="shared" si="31"/>
        <v>13.055045558475243</v>
      </c>
      <c r="R99" s="7">
        <f t="shared" si="32"/>
        <v>10.47386073583165</v>
      </c>
    </row>
    <row r="100" spans="2:18" x14ac:dyDescent="0.25">
      <c r="B100" t="s">
        <v>317</v>
      </c>
      <c r="C100">
        <v>91784</v>
      </c>
      <c r="D100">
        <v>75090</v>
      </c>
      <c r="E100" s="4">
        <f t="shared" si="25"/>
        <v>166874</v>
      </c>
      <c r="G100" t="s">
        <v>317</v>
      </c>
      <c r="H100" s="4">
        <v>637469</v>
      </c>
      <c r="I100" s="4">
        <v>635276</v>
      </c>
      <c r="J100" s="4">
        <f t="shared" si="27"/>
        <v>1272745</v>
      </c>
      <c r="L100" s="4">
        <f t="shared" si="28"/>
        <v>1.6510422131288611</v>
      </c>
      <c r="M100" s="4">
        <f t="shared" si="29"/>
        <v>-1.6453623517185156</v>
      </c>
      <c r="N100" s="8">
        <f t="shared" si="26"/>
        <v>1.6863654895510714</v>
      </c>
      <c r="O100" s="8">
        <f t="shared" si="30"/>
        <v>-1.3796433431795294</v>
      </c>
      <c r="Q100" s="7">
        <f t="shared" si="31"/>
        <v>14.39819034337356</v>
      </c>
      <c r="R100" s="7">
        <f t="shared" si="32"/>
        <v>11.820059312802625</v>
      </c>
    </row>
    <row r="101" spans="2:18" x14ac:dyDescent="0.25">
      <c r="B101" t="s">
        <v>318</v>
      </c>
      <c r="C101">
        <v>74474</v>
      </c>
      <c r="D101">
        <v>60986</v>
      </c>
      <c r="E101" s="4">
        <f t="shared" si="25"/>
        <v>135460</v>
      </c>
      <c r="G101" t="s">
        <v>318</v>
      </c>
      <c r="H101" s="4">
        <v>477860</v>
      </c>
      <c r="I101" s="4">
        <v>478346</v>
      </c>
      <c r="J101" s="4">
        <f t="shared" si="27"/>
        <v>956206</v>
      </c>
      <c r="L101" s="4">
        <f t="shared" si="28"/>
        <v>1.2376555282935444</v>
      </c>
      <c r="M101" s="4">
        <f t="shared" si="29"/>
        <v>-1.2389142663899548</v>
      </c>
      <c r="N101" s="8">
        <f t="shared" si="26"/>
        <v>1.3683254539879115</v>
      </c>
      <c r="O101" s="8">
        <f t="shared" si="30"/>
        <v>-1.120507776363654</v>
      </c>
      <c r="Q101" s="7">
        <f t="shared" si="31"/>
        <v>15.58489934290378</v>
      </c>
      <c r="R101" s="7">
        <f t="shared" si="32"/>
        <v>12.749348797732186</v>
      </c>
    </row>
    <row r="102" spans="2:18" x14ac:dyDescent="0.25">
      <c r="B102" t="s">
        <v>319</v>
      </c>
      <c r="C102">
        <v>55205</v>
      </c>
      <c r="D102">
        <v>48144</v>
      </c>
      <c r="E102" s="4">
        <f t="shared" si="25"/>
        <v>103349</v>
      </c>
      <c r="G102" t="s">
        <v>319</v>
      </c>
      <c r="H102" s="4">
        <v>352487</v>
      </c>
      <c r="I102" s="4">
        <v>359466</v>
      </c>
      <c r="J102" s="4">
        <f t="shared" si="27"/>
        <v>711953</v>
      </c>
      <c r="L102" s="4">
        <f t="shared" si="28"/>
        <v>0.9129399493609146</v>
      </c>
      <c r="M102" s="4">
        <f t="shared" si="29"/>
        <v>-0.93101553202521081</v>
      </c>
      <c r="N102" s="8">
        <f t="shared" si="26"/>
        <v>1.0142923260117982</v>
      </c>
      <c r="O102" s="8">
        <f t="shared" si="30"/>
        <v>-0.88455918383320375</v>
      </c>
      <c r="Q102" s="7">
        <f t="shared" si="31"/>
        <v>15.661570497635374</v>
      </c>
      <c r="R102" s="7">
        <f t="shared" si="32"/>
        <v>13.393199913204587</v>
      </c>
    </row>
    <row r="103" spans="2:18" x14ac:dyDescent="0.25">
      <c r="B103" t="s">
        <v>324</v>
      </c>
      <c r="C103">
        <v>46773</v>
      </c>
      <c r="D103">
        <v>40141</v>
      </c>
      <c r="E103" s="4">
        <f t="shared" si="25"/>
        <v>86914</v>
      </c>
      <c r="G103" t="s">
        <v>324</v>
      </c>
      <c r="H103" s="4">
        <v>298581</v>
      </c>
      <c r="I103" s="4">
        <v>295197</v>
      </c>
      <c r="J103" s="4">
        <f t="shared" si="27"/>
        <v>593778</v>
      </c>
      <c r="L103" s="4">
        <f t="shared" si="28"/>
        <v>0.77332362050268866</v>
      </c>
      <c r="M103" s="4">
        <f t="shared" si="29"/>
        <v>-0.76455907375731269</v>
      </c>
      <c r="N103" s="8">
        <f t="shared" si="26"/>
        <v>0.85936953110315795</v>
      </c>
      <c r="O103" s="8">
        <f t="shared" si="30"/>
        <v>-0.7375184903258688</v>
      </c>
      <c r="Q103" s="7">
        <f t="shared" si="31"/>
        <v>15.665095903624144</v>
      </c>
      <c r="R103" s="7">
        <f t="shared" si="32"/>
        <v>13.598037920439571</v>
      </c>
    </row>
    <row r="104" spans="2:18" x14ac:dyDescent="0.25">
      <c r="B104" t="s">
        <v>325</v>
      </c>
      <c r="C104">
        <v>32792</v>
      </c>
      <c r="D104">
        <v>25151</v>
      </c>
      <c r="E104" s="4">
        <f t="shared" si="25"/>
        <v>57943</v>
      </c>
      <c r="G104" t="s">
        <v>325</v>
      </c>
      <c r="H104" s="4">
        <v>207612</v>
      </c>
      <c r="I104" s="4">
        <v>183151</v>
      </c>
      <c r="J104" s="4">
        <f t="shared" si="27"/>
        <v>390763</v>
      </c>
      <c r="L104" s="4">
        <f t="shared" si="28"/>
        <v>0.53771426681471435</v>
      </c>
      <c r="M104" s="4">
        <f t="shared" si="29"/>
        <v>-0.47436037262480851</v>
      </c>
      <c r="N104" s="8">
        <f t="shared" si="26"/>
        <v>0.60249386748625822</v>
      </c>
      <c r="O104" s="8">
        <f t="shared" si="30"/>
        <v>-0.46210427119867287</v>
      </c>
      <c r="Q104" s="7">
        <f t="shared" si="31"/>
        <v>15.794848081999113</v>
      </c>
      <c r="R104" s="7">
        <f t="shared" si="32"/>
        <v>13.732384753564</v>
      </c>
    </row>
    <row r="105" spans="2:18" x14ac:dyDescent="0.25">
      <c r="B105" t="s">
        <v>326</v>
      </c>
      <c r="C105">
        <v>29504</v>
      </c>
      <c r="D105">
        <v>23013</v>
      </c>
      <c r="E105" s="4">
        <f t="shared" si="25"/>
        <v>52517</v>
      </c>
      <c r="G105" t="s">
        <v>326</v>
      </c>
      <c r="H105" s="4">
        <v>179000</v>
      </c>
      <c r="I105" s="4">
        <v>160301</v>
      </c>
      <c r="J105" s="4">
        <f t="shared" si="27"/>
        <v>339301</v>
      </c>
      <c r="L105" s="4">
        <f t="shared" si="28"/>
        <v>0.46360929888365732</v>
      </c>
      <c r="M105" s="4">
        <f t="shared" si="29"/>
        <v>-0.41517896212485556</v>
      </c>
      <c r="N105" s="8">
        <f t="shared" si="26"/>
        <v>0.54208279660632364</v>
      </c>
      <c r="O105" s="8">
        <f t="shared" si="30"/>
        <v>-0.42282237656932359</v>
      </c>
      <c r="Q105" s="7">
        <f t="shared" si="31"/>
        <v>16.482681564245809</v>
      </c>
      <c r="R105" s="7">
        <f t="shared" si="32"/>
        <v>14.356117553851815</v>
      </c>
    </row>
    <row r="106" spans="2:18" x14ac:dyDescent="0.25">
      <c r="B106" t="s">
        <v>327</v>
      </c>
      <c r="C106">
        <v>21238</v>
      </c>
      <c r="D106">
        <v>15594</v>
      </c>
      <c r="E106" s="4">
        <f t="shared" si="25"/>
        <v>36832</v>
      </c>
      <c r="G106" t="s">
        <v>327</v>
      </c>
      <c r="H106" s="4">
        <v>118675</v>
      </c>
      <c r="I106" s="4">
        <v>99833</v>
      </c>
      <c r="J106" s="4">
        <f t="shared" si="27"/>
        <v>218508</v>
      </c>
      <c r="L106" s="4">
        <f t="shared" si="28"/>
        <v>0.30736778516769847</v>
      </c>
      <c r="M106" s="4">
        <f t="shared" si="29"/>
        <v>-0.25856707896900644</v>
      </c>
      <c r="N106" s="8">
        <f t="shared" si="26"/>
        <v>0.3902099523564635</v>
      </c>
      <c r="O106" s="8">
        <f t="shared" si="30"/>
        <v>-0.28651162995793827</v>
      </c>
      <c r="Q106" s="7">
        <f t="shared" si="31"/>
        <v>17.895934274278492</v>
      </c>
      <c r="R106" s="7">
        <f t="shared" si="32"/>
        <v>15.620085542856572</v>
      </c>
    </row>
    <row r="107" spans="2:18" x14ac:dyDescent="0.25">
      <c r="B107" t="s">
        <v>328</v>
      </c>
      <c r="C107" s="4">
        <v>29637</v>
      </c>
      <c r="D107" s="4">
        <v>19734</v>
      </c>
      <c r="E107" s="4">
        <f t="shared" si="25"/>
        <v>49371</v>
      </c>
      <c r="G107" t="s">
        <v>328</v>
      </c>
      <c r="H107" s="4">
        <v>224576</v>
      </c>
      <c r="I107" s="4">
        <v>159125</v>
      </c>
      <c r="J107" s="4">
        <f t="shared" si="27"/>
        <v>383701</v>
      </c>
      <c r="L107" s="4">
        <f>H107/J$109*100</f>
        <v>0.58165096036925268</v>
      </c>
      <c r="M107" s="4">
        <f t="shared" si="29"/>
        <v>-0.41213312673107244</v>
      </c>
      <c r="N107" s="8">
        <f t="shared" si="26"/>
        <v>0.54452643177269555</v>
      </c>
      <c r="O107" s="8">
        <f t="shared" si="30"/>
        <v>-0.36257666446004577</v>
      </c>
      <c r="Q107" s="7">
        <f t="shared" si="31"/>
        <v>13.196868766030208</v>
      </c>
      <c r="R107" s="7">
        <f t="shared" si="32"/>
        <v>12.401571091908876</v>
      </c>
    </row>
    <row r="108" spans="2:18" x14ac:dyDescent="0.25">
      <c r="B108" t="s">
        <v>321</v>
      </c>
      <c r="C108" s="4">
        <v>1163</v>
      </c>
      <c r="D108" s="4">
        <v>1318</v>
      </c>
      <c r="E108" s="4">
        <f t="shared" si="25"/>
        <v>2481</v>
      </c>
      <c r="G108" t="s">
        <v>321</v>
      </c>
      <c r="H108" s="4">
        <v>9608</v>
      </c>
      <c r="I108" s="4">
        <v>11478</v>
      </c>
      <c r="J108" s="4">
        <f t="shared" si="27"/>
        <v>21086</v>
      </c>
    </row>
    <row r="109" spans="2:18" x14ac:dyDescent="0.25">
      <c r="B109" t="s">
        <v>144</v>
      </c>
      <c r="C109" s="4">
        <f>SUM(C91:C108)</f>
        <v>2824977</v>
      </c>
      <c r="D109" s="4">
        <f>SUM(D91:D108)</f>
        <v>2617734</v>
      </c>
      <c r="E109" s="4">
        <f t="shared" si="25"/>
        <v>5442711</v>
      </c>
      <c r="G109" t="s">
        <v>144</v>
      </c>
      <c r="H109" s="4">
        <f>SUM(H91:H108)</f>
        <v>19417639</v>
      </c>
      <c r="I109" s="4">
        <f>SUM(I91:I108)</f>
        <v>19192458</v>
      </c>
      <c r="J109" s="4">
        <f t="shared" si="27"/>
        <v>38610097</v>
      </c>
    </row>
    <row r="113" spans="1:25" x14ac:dyDescent="0.25">
      <c r="A113" t="s">
        <v>693</v>
      </c>
      <c r="B113" t="s">
        <v>153</v>
      </c>
      <c r="C113" t="s">
        <v>144</v>
      </c>
      <c r="D113" t="s">
        <v>697</v>
      </c>
      <c r="E113" t="s">
        <v>694</v>
      </c>
      <c r="F113" t="s">
        <v>695</v>
      </c>
      <c r="G113" t="s">
        <v>696</v>
      </c>
    </row>
    <row r="114" spans="1:25" s="37" customFormat="1" x14ac:dyDescent="0.25">
      <c r="B114" s="37">
        <v>1979</v>
      </c>
      <c r="C114" s="16">
        <f>J22</f>
        <v>15297576</v>
      </c>
      <c r="D114" s="16">
        <f>SUM(H4:H6)</f>
        <v>3720044</v>
      </c>
      <c r="E114" s="16">
        <f>SUM(I4:I6)</f>
        <v>3689973</v>
      </c>
      <c r="F114" s="16">
        <f>SUM(H7:H20)</f>
        <v>3871417</v>
      </c>
      <c r="G114" s="16">
        <f>SUM(I4:I20)</f>
        <v>7706115</v>
      </c>
    </row>
    <row r="115" spans="1:25" x14ac:dyDescent="0.25">
      <c r="B115">
        <v>1989</v>
      </c>
      <c r="C115" s="16">
        <f>J48</f>
        <v>21443636</v>
      </c>
      <c r="D115" s="16">
        <f>SUM(I30:I32)</f>
        <v>5158906</v>
      </c>
      <c r="E115" s="16">
        <f>SUM(H30:H32)</f>
        <v>5099767</v>
      </c>
      <c r="F115" s="16">
        <f>SUM(I33:I46)</f>
        <v>5454722</v>
      </c>
      <c r="G115" s="16">
        <f>SUM(H33:H46)</f>
        <v>5704992</v>
      </c>
    </row>
    <row r="116" spans="1:25" x14ac:dyDescent="0.25">
      <c r="B116">
        <v>1999</v>
      </c>
      <c r="C116" s="16">
        <f>J85</f>
        <v>28686000</v>
      </c>
      <c r="D116" s="16">
        <f>SUM(I67:I69)</f>
        <v>6327496</v>
      </c>
      <c r="E116" s="16">
        <f>SUM(H67:H69)</f>
        <v>6209177</v>
      </c>
      <c r="F116" s="16">
        <f>SUM(I70:I83)</f>
        <v>7773999</v>
      </c>
      <c r="G116" s="16">
        <f>SUM(H70:H83)</f>
        <v>8184885</v>
      </c>
    </row>
    <row r="117" spans="1:25" x14ac:dyDescent="0.25">
      <c r="B117">
        <v>2009</v>
      </c>
      <c r="C117" s="16">
        <f>J109</f>
        <v>38610097</v>
      </c>
      <c r="D117" s="16">
        <f>SUM(I91:I93)</f>
        <v>8398421</v>
      </c>
      <c r="E117" s="16">
        <f>SUM(H91:H93)</f>
        <v>8173456</v>
      </c>
      <c r="F117" s="16">
        <f>SUM(I94:I107)</f>
        <v>10782559</v>
      </c>
      <c r="G117" s="16">
        <f>SUM(H94:H107)</f>
        <v>11234575</v>
      </c>
    </row>
    <row r="125" spans="1:25" x14ac:dyDescent="0.25">
      <c r="A125" s="2" t="s">
        <v>1071</v>
      </c>
    </row>
    <row r="126" spans="1:25" s="37" customFormat="1" x14ac:dyDescent="0.25">
      <c r="A126" s="2"/>
      <c r="C126" s="37">
        <v>1950</v>
      </c>
      <c r="E126" s="47">
        <v>1955</v>
      </c>
      <c r="G126" s="47">
        <v>1960</v>
      </c>
      <c r="I126" s="47">
        <v>1965</v>
      </c>
      <c r="K126" s="47">
        <v>1970</v>
      </c>
      <c r="M126" s="47">
        <v>1975</v>
      </c>
      <c r="O126" s="47">
        <v>1980</v>
      </c>
      <c r="Q126" s="47">
        <v>1985</v>
      </c>
    </row>
    <row r="127" spans="1:25" x14ac:dyDescent="0.25">
      <c r="C127" s="47" t="s">
        <v>597</v>
      </c>
      <c r="D127" s="47" t="s">
        <v>604</v>
      </c>
      <c r="E127" s="47" t="s">
        <v>597</v>
      </c>
      <c r="F127" s="47" t="s">
        <v>604</v>
      </c>
      <c r="G127" s="47" t="s">
        <v>597</v>
      </c>
      <c r="H127" s="47" t="s">
        <v>604</v>
      </c>
      <c r="I127" s="47" t="s">
        <v>597</v>
      </c>
      <c r="J127" s="47" t="s">
        <v>604</v>
      </c>
      <c r="K127" s="47" t="s">
        <v>597</v>
      </c>
      <c r="L127" s="47" t="s">
        <v>604</v>
      </c>
      <c r="M127" s="47" t="s">
        <v>597</v>
      </c>
      <c r="N127" s="47" t="s">
        <v>604</v>
      </c>
      <c r="O127" s="47" t="s">
        <v>597</v>
      </c>
      <c r="P127" s="47" t="s">
        <v>604</v>
      </c>
      <c r="Q127" s="47" t="s">
        <v>597</v>
      </c>
      <c r="R127" s="47" t="s">
        <v>604</v>
      </c>
      <c r="S127" s="47"/>
      <c r="T127" s="47"/>
      <c r="U127" s="47"/>
      <c r="V127" s="47"/>
      <c r="W127" s="47"/>
      <c r="X127" s="47"/>
      <c r="Y127" s="47"/>
    </row>
    <row r="128" spans="1:25" x14ac:dyDescent="0.25">
      <c r="B128" s="46" t="s">
        <v>494</v>
      </c>
      <c r="C128" s="49">
        <v>530.10400000000004</v>
      </c>
      <c r="D128" s="49">
        <v>526.12800000000004</v>
      </c>
      <c r="E128" s="49">
        <v>677.54600000000005</v>
      </c>
      <c r="F128" s="49">
        <v>678.548</v>
      </c>
      <c r="G128" s="49">
        <v>801.89499999999998</v>
      </c>
      <c r="H128" s="49">
        <v>800.50300000000004</v>
      </c>
      <c r="I128" s="49">
        <v>952.15599999999995</v>
      </c>
      <c r="J128" s="49">
        <v>951.90099999999995</v>
      </c>
      <c r="K128" s="49">
        <v>1142.9079999999999</v>
      </c>
      <c r="L128" s="49">
        <v>1138.8889999999999</v>
      </c>
      <c r="M128" s="49">
        <v>1404.2339999999999</v>
      </c>
      <c r="N128" s="49">
        <v>1394.3009999999999</v>
      </c>
      <c r="O128" s="49">
        <v>1696.405</v>
      </c>
      <c r="P128" s="49">
        <v>1677.8230000000001</v>
      </c>
      <c r="Q128" s="49">
        <v>2020.893</v>
      </c>
      <c r="R128" s="49">
        <v>1992.7149999999999</v>
      </c>
    </row>
    <row r="129" spans="2:18" x14ac:dyDescent="0.25">
      <c r="B129" s="46" t="s">
        <v>459</v>
      </c>
      <c r="C129" s="49">
        <v>354.14699999999999</v>
      </c>
      <c r="D129" s="49">
        <v>352.59500000000003</v>
      </c>
      <c r="E129" s="49">
        <v>478.06599999999997</v>
      </c>
      <c r="F129" s="49">
        <v>478.45</v>
      </c>
      <c r="G129" s="49">
        <v>620.524</v>
      </c>
      <c r="H129" s="49">
        <v>625.42399999999998</v>
      </c>
      <c r="I129" s="49">
        <v>745.995</v>
      </c>
      <c r="J129" s="49">
        <v>750.63900000000001</v>
      </c>
      <c r="K129" s="49">
        <v>897.00099999999998</v>
      </c>
      <c r="L129" s="49">
        <v>902.67200000000003</v>
      </c>
      <c r="M129" s="49">
        <v>1089.038</v>
      </c>
      <c r="N129" s="49">
        <v>1091.424</v>
      </c>
      <c r="O129" s="49">
        <v>1350.6959999999999</v>
      </c>
      <c r="P129" s="49">
        <v>1346.829</v>
      </c>
      <c r="Q129" s="49">
        <v>1644.307</v>
      </c>
      <c r="R129" s="49">
        <v>1631.4639999999999</v>
      </c>
    </row>
    <row r="130" spans="2:18" x14ac:dyDescent="0.25">
      <c r="B130" s="46" t="s">
        <v>338</v>
      </c>
      <c r="C130" s="49">
        <v>326.98599999999999</v>
      </c>
      <c r="D130" s="49">
        <v>326.79300000000001</v>
      </c>
      <c r="E130" s="49">
        <v>341.363</v>
      </c>
      <c r="F130" s="49">
        <v>339.952</v>
      </c>
      <c r="G130" s="49">
        <v>463.54700000000003</v>
      </c>
      <c r="H130" s="49">
        <v>464.02</v>
      </c>
      <c r="I130" s="49">
        <v>604.98800000000006</v>
      </c>
      <c r="J130" s="49">
        <v>610.71199999999999</v>
      </c>
      <c r="K130" s="49">
        <v>730.43</v>
      </c>
      <c r="L130" s="49">
        <v>736.11599999999999</v>
      </c>
      <c r="M130" s="49">
        <v>881.66300000000001</v>
      </c>
      <c r="N130" s="49">
        <v>888.49599999999998</v>
      </c>
      <c r="O130" s="49">
        <v>1073.934</v>
      </c>
      <c r="P130" s="49">
        <v>1077.318</v>
      </c>
      <c r="Q130" s="49">
        <v>1335.3430000000001</v>
      </c>
      <c r="R130" s="49">
        <v>1332.5719999999999</v>
      </c>
    </row>
    <row r="131" spans="2:18" x14ac:dyDescent="0.25">
      <c r="B131" s="46" t="s">
        <v>137</v>
      </c>
      <c r="C131" s="49">
        <v>316.221</v>
      </c>
      <c r="D131" s="49">
        <v>306.90800000000002</v>
      </c>
      <c r="E131" s="49">
        <v>318.005</v>
      </c>
      <c r="F131" s="49">
        <v>317.78699999999998</v>
      </c>
      <c r="G131" s="49">
        <v>333.24099999999999</v>
      </c>
      <c r="H131" s="49">
        <v>331.92099999999999</v>
      </c>
      <c r="I131" s="49">
        <v>453.52300000000002</v>
      </c>
      <c r="J131" s="49">
        <v>454.77800000000002</v>
      </c>
      <c r="K131" s="49">
        <v>593.84900000000005</v>
      </c>
      <c r="L131" s="49">
        <v>600.572</v>
      </c>
      <c r="M131" s="49">
        <v>719.10799999999995</v>
      </c>
      <c r="N131" s="49">
        <v>726.02300000000002</v>
      </c>
      <c r="O131" s="49">
        <v>870.702</v>
      </c>
      <c r="P131" s="49">
        <v>878.62300000000005</v>
      </c>
      <c r="Q131" s="49">
        <v>1062.8620000000001</v>
      </c>
      <c r="R131" s="49">
        <v>1067.5150000000001</v>
      </c>
    </row>
    <row r="132" spans="2:18" x14ac:dyDescent="0.25">
      <c r="B132" s="46" t="s">
        <v>138</v>
      </c>
      <c r="C132" s="49">
        <v>271.601</v>
      </c>
      <c r="D132" s="49">
        <v>254.81899999999999</v>
      </c>
      <c r="E132" s="49">
        <v>304.50299999999999</v>
      </c>
      <c r="F132" s="49">
        <v>297.32299999999998</v>
      </c>
      <c r="G132" s="49">
        <v>307.54399999999998</v>
      </c>
      <c r="H132" s="49">
        <v>309.05700000000002</v>
      </c>
      <c r="I132" s="49">
        <v>321.97500000000002</v>
      </c>
      <c r="J132" s="49">
        <v>323.12</v>
      </c>
      <c r="K132" s="49">
        <v>440.40600000000001</v>
      </c>
      <c r="L132" s="49">
        <v>444.61799999999999</v>
      </c>
      <c r="M132" s="49">
        <v>579.30499999999995</v>
      </c>
      <c r="N132" s="49">
        <v>589.40099999999995</v>
      </c>
      <c r="O132" s="49">
        <v>705.30899999999997</v>
      </c>
      <c r="P132" s="49">
        <v>715.35199999999998</v>
      </c>
      <c r="Q132" s="49">
        <v>856.80399999999997</v>
      </c>
      <c r="R132" s="49">
        <v>868.02700000000004</v>
      </c>
    </row>
    <row r="133" spans="2:18" x14ac:dyDescent="0.25">
      <c r="B133" s="46" t="s">
        <v>139</v>
      </c>
      <c r="C133" s="49">
        <v>230.666</v>
      </c>
      <c r="D133" s="49">
        <v>207.57900000000001</v>
      </c>
      <c r="E133" s="49">
        <v>259.23099999999999</v>
      </c>
      <c r="F133" s="49">
        <v>245.5</v>
      </c>
      <c r="G133" s="49">
        <v>292.14100000000002</v>
      </c>
      <c r="H133" s="49">
        <v>287.62099999999998</v>
      </c>
      <c r="I133" s="49">
        <v>294.44799999999998</v>
      </c>
      <c r="J133" s="49">
        <v>298.97699999999998</v>
      </c>
      <c r="K133" s="49">
        <v>309.71800000000002</v>
      </c>
      <c r="L133" s="49">
        <v>313.76499999999999</v>
      </c>
      <c r="M133" s="49">
        <v>426.37599999999998</v>
      </c>
      <c r="N133" s="49">
        <v>433.89800000000002</v>
      </c>
      <c r="O133" s="49">
        <v>565.22</v>
      </c>
      <c r="P133" s="49">
        <v>578.34500000000003</v>
      </c>
      <c r="Q133" s="49">
        <v>690.98599999999999</v>
      </c>
      <c r="R133" s="49">
        <v>704.22799999999995</v>
      </c>
    </row>
    <row r="134" spans="2:18" x14ac:dyDescent="0.25">
      <c r="B134" s="46" t="s">
        <v>140</v>
      </c>
      <c r="C134" s="49">
        <v>199.917</v>
      </c>
      <c r="D134" s="49">
        <v>178.965</v>
      </c>
      <c r="E134" s="49">
        <v>219.32900000000001</v>
      </c>
      <c r="F134" s="49">
        <v>198.82499999999999</v>
      </c>
      <c r="G134" s="49">
        <v>247.82599999999999</v>
      </c>
      <c r="H134" s="49">
        <v>236.2</v>
      </c>
      <c r="I134" s="49">
        <v>278.96899999999999</v>
      </c>
      <c r="J134" s="49">
        <v>277.012</v>
      </c>
      <c r="K134" s="49">
        <v>282.46699999999998</v>
      </c>
      <c r="L134" s="49">
        <v>289.12599999999998</v>
      </c>
      <c r="M134" s="49">
        <v>298.673</v>
      </c>
      <c r="N134" s="49">
        <v>304.75599999999997</v>
      </c>
      <c r="O134" s="49">
        <v>414.83</v>
      </c>
      <c r="P134" s="49">
        <v>424.13600000000002</v>
      </c>
      <c r="Q134" s="49">
        <v>552.23</v>
      </c>
      <c r="R134" s="49">
        <v>567.375</v>
      </c>
    </row>
    <row r="135" spans="2:18" x14ac:dyDescent="0.25">
      <c r="B135" s="46" t="s">
        <v>141</v>
      </c>
      <c r="C135" s="49">
        <v>179.64400000000001</v>
      </c>
      <c r="D135" s="49">
        <v>155.19999999999999</v>
      </c>
      <c r="E135" s="49">
        <v>188.89400000000001</v>
      </c>
      <c r="F135" s="49">
        <v>170.417</v>
      </c>
      <c r="G135" s="49">
        <v>208.416</v>
      </c>
      <c r="H135" s="49">
        <v>190.23400000000001</v>
      </c>
      <c r="I135" s="49">
        <v>235.53399999999999</v>
      </c>
      <c r="J135" s="49">
        <v>226.46600000000001</v>
      </c>
      <c r="K135" s="49">
        <v>266.57400000000001</v>
      </c>
      <c r="L135" s="49">
        <v>266.87</v>
      </c>
      <c r="M135" s="49">
        <v>271.33800000000002</v>
      </c>
      <c r="N135" s="49">
        <v>279.83499999999998</v>
      </c>
      <c r="O135" s="49">
        <v>289.20600000000002</v>
      </c>
      <c r="P135" s="49">
        <v>296.69</v>
      </c>
      <c r="Q135" s="49">
        <v>403.41500000000002</v>
      </c>
      <c r="R135" s="49">
        <v>414.51299999999998</v>
      </c>
    </row>
    <row r="136" spans="2:18" x14ac:dyDescent="0.25">
      <c r="B136" s="46" t="s">
        <v>142</v>
      </c>
      <c r="C136" s="49">
        <v>159.75800000000001</v>
      </c>
      <c r="D136" s="49">
        <v>140.553</v>
      </c>
      <c r="E136" s="49">
        <v>168.16800000000001</v>
      </c>
      <c r="F136" s="49">
        <v>146.87799999999999</v>
      </c>
      <c r="G136" s="49">
        <v>177.91399999999999</v>
      </c>
      <c r="H136" s="49">
        <v>162.05699999999999</v>
      </c>
      <c r="I136" s="49">
        <v>196.64699999999999</v>
      </c>
      <c r="J136" s="49">
        <v>181.434</v>
      </c>
      <c r="K136" s="49">
        <v>223.50899999999999</v>
      </c>
      <c r="L136" s="49">
        <v>217.05099999999999</v>
      </c>
      <c r="M136" s="49">
        <v>254.517</v>
      </c>
      <c r="N136" s="49">
        <v>257.08800000000002</v>
      </c>
      <c r="O136" s="49">
        <v>260.99</v>
      </c>
      <c r="P136" s="49">
        <v>271.05</v>
      </c>
      <c r="Q136" s="49">
        <v>279.399</v>
      </c>
      <c r="R136" s="49">
        <v>288.54000000000002</v>
      </c>
    </row>
    <row r="137" spans="2:18" x14ac:dyDescent="0.25">
      <c r="B137" s="46" t="s">
        <v>143</v>
      </c>
      <c r="C137" s="49">
        <v>132.405</v>
      </c>
      <c r="D137" s="49">
        <v>130.56100000000001</v>
      </c>
      <c r="E137" s="49">
        <v>147.99</v>
      </c>
      <c r="F137" s="49">
        <v>132.35300000000001</v>
      </c>
      <c r="G137" s="49">
        <v>156.77099999999999</v>
      </c>
      <c r="H137" s="49">
        <v>138.94300000000001</v>
      </c>
      <c r="I137" s="49">
        <v>166.37200000000001</v>
      </c>
      <c r="J137" s="49">
        <v>153.845</v>
      </c>
      <c r="K137" s="49">
        <v>184.96700000000001</v>
      </c>
      <c r="L137" s="49">
        <v>173.035</v>
      </c>
      <c r="M137" s="49">
        <v>211.59100000000001</v>
      </c>
      <c r="N137" s="49">
        <v>208.06200000000001</v>
      </c>
      <c r="O137" s="49">
        <v>242.727</v>
      </c>
      <c r="P137" s="49">
        <v>247.74600000000001</v>
      </c>
      <c r="Q137" s="49">
        <v>250.02</v>
      </c>
      <c r="R137" s="49">
        <v>262.26400000000001</v>
      </c>
    </row>
    <row r="138" spans="2:18" x14ac:dyDescent="0.25">
      <c r="B138" s="46" t="s">
        <v>392</v>
      </c>
      <c r="C138" s="49">
        <v>109.999</v>
      </c>
      <c r="D138" s="49">
        <v>116.206</v>
      </c>
      <c r="E138" s="49">
        <v>120.85</v>
      </c>
      <c r="F138" s="49">
        <v>121.746</v>
      </c>
      <c r="G138" s="49">
        <v>135.91200000000001</v>
      </c>
      <c r="H138" s="49">
        <v>123.979</v>
      </c>
      <c r="I138" s="49">
        <v>144.553</v>
      </c>
      <c r="J138" s="49">
        <v>130.71299999999999</v>
      </c>
      <c r="K138" s="49">
        <v>154.286</v>
      </c>
      <c r="L138" s="49">
        <v>145.41</v>
      </c>
      <c r="M138" s="49">
        <v>172.66499999999999</v>
      </c>
      <c r="N138" s="49">
        <v>164.40799999999999</v>
      </c>
      <c r="O138" s="49">
        <v>198.99600000000001</v>
      </c>
      <c r="P138" s="49">
        <v>198.756</v>
      </c>
      <c r="Q138" s="49">
        <v>229.39599999999999</v>
      </c>
      <c r="R138" s="49">
        <v>237.71</v>
      </c>
    </row>
    <row r="139" spans="2:18" x14ac:dyDescent="0.25">
      <c r="B139" s="46" t="s">
        <v>535</v>
      </c>
      <c r="C139" s="49">
        <v>87.3</v>
      </c>
      <c r="D139" s="49">
        <v>97</v>
      </c>
      <c r="E139" s="49">
        <v>98.3</v>
      </c>
      <c r="F139" s="49">
        <v>106.303</v>
      </c>
      <c r="G139" s="49">
        <v>108.65300000000001</v>
      </c>
      <c r="H139" s="49">
        <v>111.93899999999999</v>
      </c>
      <c r="I139" s="49">
        <v>122.76900000000001</v>
      </c>
      <c r="J139" s="49">
        <v>114.639</v>
      </c>
      <c r="K139" s="49">
        <v>131.33600000000001</v>
      </c>
      <c r="L139" s="49">
        <v>121.511</v>
      </c>
      <c r="M139" s="49">
        <v>141.143</v>
      </c>
      <c r="N139" s="49">
        <v>135.994</v>
      </c>
      <c r="O139" s="49">
        <v>159.19300000000001</v>
      </c>
      <c r="P139" s="49">
        <v>154.68299999999999</v>
      </c>
      <c r="Q139" s="49">
        <v>184.49199999999999</v>
      </c>
      <c r="R139" s="49">
        <v>188.00700000000001</v>
      </c>
    </row>
    <row r="140" spans="2:18" x14ac:dyDescent="0.25">
      <c r="B140" s="46" t="s">
        <v>536</v>
      </c>
      <c r="C140" s="49">
        <v>67.802000000000007</v>
      </c>
      <c r="D140" s="49">
        <v>78.376000000000005</v>
      </c>
      <c r="E140" s="49">
        <v>75.388000000000005</v>
      </c>
      <c r="F140" s="49">
        <v>85.778999999999996</v>
      </c>
      <c r="G140" s="49">
        <v>85.406999999999996</v>
      </c>
      <c r="H140" s="49">
        <v>94.581999999999994</v>
      </c>
      <c r="I140" s="49">
        <v>94.903999999999996</v>
      </c>
      <c r="J140" s="49">
        <v>100.371</v>
      </c>
      <c r="K140" s="49">
        <v>107.908</v>
      </c>
      <c r="L140" s="49">
        <v>103.48099999999999</v>
      </c>
      <c r="M140" s="49">
        <v>116.312</v>
      </c>
      <c r="N140" s="49">
        <v>110.515</v>
      </c>
      <c r="O140" s="49">
        <v>126.07899999999999</v>
      </c>
      <c r="P140" s="49">
        <v>124.60299999999999</v>
      </c>
      <c r="Q140" s="49">
        <v>143.15600000000001</v>
      </c>
      <c r="R140" s="49">
        <v>142.73599999999999</v>
      </c>
    </row>
    <row r="141" spans="2:18" x14ac:dyDescent="0.25">
      <c r="B141" s="46" t="s">
        <v>970</v>
      </c>
      <c r="C141" s="49">
        <v>47.723999999999997</v>
      </c>
      <c r="D141" s="49">
        <v>60.14</v>
      </c>
      <c r="E141" s="49">
        <v>55.127000000000002</v>
      </c>
      <c r="F141" s="49">
        <v>65.23</v>
      </c>
      <c r="G141" s="49">
        <v>61.664000000000001</v>
      </c>
      <c r="H141" s="49">
        <v>71.912000000000006</v>
      </c>
      <c r="I141" s="49">
        <v>70.266000000000005</v>
      </c>
      <c r="J141" s="49">
        <v>80.097999999999999</v>
      </c>
      <c r="K141" s="49">
        <v>78.596999999999994</v>
      </c>
      <c r="L141" s="49">
        <v>85.733000000000004</v>
      </c>
      <c r="M141" s="49">
        <v>90.141000000000005</v>
      </c>
      <c r="N141" s="49">
        <v>89.266999999999996</v>
      </c>
      <c r="O141" s="49">
        <v>98.153999999999996</v>
      </c>
      <c r="P141" s="49">
        <v>96.26</v>
      </c>
      <c r="Q141" s="49">
        <v>107.31399999999999</v>
      </c>
      <c r="R141" s="49">
        <v>109.626</v>
      </c>
    </row>
    <row r="142" spans="2:18" x14ac:dyDescent="0.25">
      <c r="B142" s="46" t="s">
        <v>971</v>
      </c>
      <c r="C142" s="49">
        <v>28.616</v>
      </c>
      <c r="D142" s="49">
        <v>40.061</v>
      </c>
      <c r="E142" s="49">
        <v>35.110999999999997</v>
      </c>
      <c r="F142" s="49">
        <v>45.283999999999999</v>
      </c>
      <c r="G142" s="49">
        <v>40.796999999999997</v>
      </c>
      <c r="H142" s="49">
        <v>49.512</v>
      </c>
      <c r="I142" s="49">
        <v>45.917000000000002</v>
      </c>
      <c r="J142" s="49">
        <v>55.249000000000002</v>
      </c>
      <c r="K142" s="49">
        <v>52.701000000000001</v>
      </c>
      <c r="L142" s="49">
        <v>62.197000000000003</v>
      </c>
      <c r="M142" s="49">
        <v>59.548999999999999</v>
      </c>
      <c r="N142" s="49">
        <v>67.433999999999997</v>
      </c>
      <c r="O142" s="49">
        <v>69.17</v>
      </c>
      <c r="P142" s="49">
        <v>71.120999999999995</v>
      </c>
      <c r="Q142" s="49">
        <v>76.191000000000003</v>
      </c>
      <c r="R142" s="49">
        <v>77.8</v>
      </c>
    </row>
    <row r="143" spans="2:18" x14ac:dyDescent="0.25">
      <c r="B143" s="46" t="s">
        <v>972</v>
      </c>
      <c r="C143" s="49">
        <v>14.840999999999999</v>
      </c>
      <c r="D143" s="49">
        <v>26.19</v>
      </c>
      <c r="E143" s="49">
        <v>17.861999999999998</v>
      </c>
      <c r="F143" s="49">
        <v>25.728000000000002</v>
      </c>
      <c r="G143" s="49">
        <v>22.023</v>
      </c>
      <c r="H143" s="49">
        <v>29.297999999999998</v>
      </c>
      <c r="I143" s="49">
        <v>25.728000000000002</v>
      </c>
      <c r="J143" s="49">
        <v>32.44</v>
      </c>
      <c r="K143" s="49">
        <v>29.167000000000002</v>
      </c>
      <c r="L143" s="49">
        <v>36.642000000000003</v>
      </c>
      <c r="M143" s="49">
        <v>33.866</v>
      </c>
      <c r="N143" s="49">
        <v>41.908999999999999</v>
      </c>
      <c r="O143" s="49">
        <v>38.892000000000003</v>
      </c>
      <c r="P143" s="49">
        <v>46.204999999999998</v>
      </c>
      <c r="Q143" s="49">
        <v>45.896000000000001</v>
      </c>
      <c r="R143" s="49">
        <v>49.720999999999997</v>
      </c>
    </row>
    <row r="144" spans="2:18" x14ac:dyDescent="0.25">
      <c r="B144" s="46" t="s">
        <v>328</v>
      </c>
      <c r="C144" s="37">
        <v>6.7920000000000007</v>
      </c>
      <c r="D144" s="49">
        <v>14.159999999999998</v>
      </c>
      <c r="E144" s="37">
        <v>8.9410000000000007</v>
      </c>
      <c r="F144" s="49">
        <v>16.881</v>
      </c>
      <c r="G144" s="37">
        <v>11.025</v>
      </c>
      <c r="H144" s="49">
        <v>17.580000000000005</v>
      </c>
      <c r="I144" s="37">
        <v>13.533999999999997</v>
      </c>
      <c r="J144" s="49">
        <v>19.491</v>
      </c>
      <c r="K144" s="37">
        <v>16.044999999999998</v>
      </c>
      <c r="L144" s="49">
        <v>21.837</v>
      </c>
      <c r="M144" s="37">
        <v>18.555000000000003</v>
      </c>
      <c r="N144" s="49">
        <v>25.012999999999998</v>
      </c>
      <c r="O144" s="37">
        <v>21.943000000000001</v>
      </c>
      <c r="P144" s="49">
        <v>29.216999999999999</v>
      </c>
      <c r="Q144" s="37">
        <v>25.936</v>
      </c>
      <c r="R144" s="49">
        <v>33.625</v>
      </c>
    </row>
    <row r="145" spans="2:18" x14ac:dyDescent="0.25">
      <c r="B145" s="49"/>
      <c r="C145" s="49"/>
      <c r="D145" s="49"/>
      <c r="E145" s="49"/>
      <c r="F145" s="49"/>
      <c r="G145" s="49"/>
      <c r="H145" s="49"/>
      <c r="I145" s="49"/>
      <c r="J145" s="49"/>
      <c r="K145" s="49"/>
      <c r="L145" s="49"/>
      <c r="M145" s="49"/>
      <c r="N145" s="49"/>
      <c r="O145" s="49"/>
      <c r="P145" s="49"/>
      <c r="Q145" s="49"/>
    </row>
    <row r="146" spans="2:18" s="37" customFormat="1" x14ac:dyDescent="0.25">
      <c r="B146" s="49"/>
      <c r="C146" s="49">
        <v>1990</v>
      </c>
      <c r="D146" s="49"/>
      <c r="E146" s="49">
        <v>1995</v>
      </c>
      <c r="F146" s="49"/>
      <c r="G146" s="49">
        <v>2000</v>
      </c>
      <c r="H146" s="49"/>
      <c r="I146" s="49">
        <v>2005</v>
      </c>
      <c r="J146" s="49"/>
      <c r="K146" s="49">
        <v>2010</v>
      </c>
      <c r="L146" s="49"/>
      <c r="M146" s="49">
        <v>2015</v>
      </c>
      <c r="N146" s="49"/>
      <c r="O146" s="49">
        <v>2020</v>
      </c>
      <c r="P146" s="49"/>
      <c r="Q146" s="49"/>
    </row>
    <row r="147" spans="2:18" x14ac:dyDescent="0.25">
      <c r="B147" s="37" t="s">
        <v>1072</v>
      </c>
      <c r="C147" s="47" t="s">
        <v>597</v>
      </c>
      <c r="D147" s="47" t="s">
        <v>604</v>
      </c>
      <c r="E147" s="47" t="s">
        <v>597</v>
      </c>
      <c r="F147" s="47" t="s">
        <v>604</v>
      </c>
      <c r="G147" s="47" t="s">
        <v>597</v>
      </c>
      <c r="H147" s="47" t="s">
        <v>604</v>
      </c>
      <c r="I147" s="47" t="s">
        <v>597</v>
      </c>
      <c r="J147" s="47" t="s">
        <v>604</v>
      </c>
      <c r="K147" s="47" t="s">
        <v>597</v>
      </c>
      <c r="L147" s="47" t="s">
        <v>604</v>
      </c>
      <c r="M147" s="47" t="s">
        <v>597</v>
      </c>
      <c r="N147" s="47" t="s">
        <v>604</v>
      </c>
      <c r="O147" s="47" t="s">
        <v>597</v>
      </c>
      <c r="P147" s="47" t="s">
        <v>604</v>
      </c>
      <c r="Q147" s="47"/>
      <c r="R147" s="47"/>
    </row>
    <row r="148" spans="2:18" x14ac:dyDescent="0.25">
      <c r="B148" s="46" t="s">
        <v>494</v>
      </c>
      <c r="C148" s="49">
        <v>2270.92</v>
      </c>
      <c r="D148" s="49">
        <v>2237.337</v>
      </c>
      <c r="E148" s="49">
        <v>2392.2289999999998</v>
      </c>
      <c r="F148" s="49">
        <v>2353.848</v>
      </c>
      <c r="G148" s="49">
        <v>2794.201</v>
      </c>
      <c r="H148" s="49">
        <v>2744.68</v>
      </c>
      <c r="I148" s="49">
        <v>3132.962</v>
      </c>
      <c r="J148" s="49">
        <v>3075.279</v>
      </c>
      <c r="K148" s="49">
        <v>3462.1089999999999</v>
      </c>
      <c r="L148" s="49">
        <v>3390.8629999999998</v>
      </c>
      <c r="M148" s="49">
        <v>3544.5050000000001</v>
      </c>
      <c r="N148" s="49">
        <v>3491.221</v>
      </c>
      <c r="O148" s="49">
        <v>3558.3429999999998</v>
      </c>
      <c r="P148" s="49">
        <v>3486.0210000000002</v>
      </c>
    </row>
    <row r="149" spans="2:18" x14ac:dyDescent="0.25">
      <c r="B149" s="46" t="s">
        <v>459</v>
      </c>
      <c r="C149" s="49">
        <v>1960.962</v>
      </c>
      <c r="D149" s="49">
        <v>1940.953</v>
      </c>
      <c r="E149" s="49">
        <v>2203.3530000000001</v>
      </c>
      <c r="F149" s="49">
        <v>2183.0940000000001</v>
      </c>
      <c r="G149" s="49">
        <v>2309.2719999999999</v>
      </c>
      <c r="H149" s="49">
        <v>2290.3620000000001</v>
      </c>
      <c r="I149" s="49">
        <v>2704.826</v>
      </c>
      <c r="J149" s="49">
        <v>2678.6390000000001</v>
      </c>
      <c r="K149" s="49">
        <v>3062.1979999999999</v>
      </c>
      <c r="L149" s="49">
        <v>3018.3670000000002</v>
      </c>
      <c r="M149" s="49">
        <v>3411.3249999999998</v>
      </c>
      <c r="N149" s="49">
        <v>3353.1439999999998</v>
      </c>
      <c r="O149" s="49">
        <v>3508.2669999999998</v>
      </c>
      <c r="P149" s="49">
        <v>3461.279</v>
      </c>
    </row>
    <row r="150" spans="2:18" x14ac:dyDescent="0.25">
      <c r="B150" s="46" t="s">
        <v>338</v>
      </c>
      <c r="C150" s="49">
        <v>1625.636</v>
      </c>
      <c r="D150" s="49">
        <v>1615.5360000000001</v>
      </c>
      <c r="E150" s="49">
        <v>1937.1469999999999</v>
      </c>
      <c r="F150" s="49">
        <v>1924.5530000000001</v>
      </c>
      <c r="G150" s="49">
        <v>2165.1869999999999</v>
      </c>
      <c r="H150" s="49">
        <v>2159.6559999999999</v>
      </c>
      <c r="I150" s="49">
        <v>2267.56</v>
      </c>
      <c r="J150" s="49">
        <v>2265.5639999999999</v>
      </c>
      <c r="K150" s="49">
        <v>2670.7550000000001</v>
      </c>
      <c r="L150" s="49">
        <v>2654.402</v>
      </c>
      <c r="M150" s="49">
        <v>3040.2959999999998</v>
      </c>
      <c r="N150" s="49">
        <v>3001.846</v>
      </c>
      <c r="O150" s="49">
        <v>3395.31</v>
      </c>
      <c r="P150" s="49">
        <v>3340.913</v>
      </c>
    </row>
    <row r="151" spans="2:18" x14ac:dyDescent="0.25">
      <c r="B151" s="46" t="s">
        <v>137</v>
      </c>
      <c r="C151" s="49">
        <v>1321.492</v>
      </c>
      <c r="D151" s="49">
        <v>1321.2439999999999</v>
      </c>
      <c r="E151" s="49">
        <v>1612.4110000000001</v>
      </c>
      <c r="F151" s="49">
        <v>1608.7</v>
      </c>
      <c r="G151" s="49">
        <v>1905.8720000000001</v>
      </c>
      <c r="H151" s="49">
        <v>1904.5170000000001</v>
      </c>
      <c r="I151" s="49">
        <v>2129.7710000000002</v>
      </c>
      <c r="J151" s="49">
        <v>2137.7130000000002</v>
      </c>
      <c r="K151" s="49">
        <v>2234.4760000000001</v>
      </c>
      <c r="L151" s="49">
        <v>2242.0169999999998</v>
      </c>
      <c r="M151" s="49">
        <v>2648.703</v>
      </c>
      <c r="N151" s="49">
        <v>2638.4279999999999</v>
      </c>
      <c r="O151" s="49">
        <v>3021.8609999999999</v>
      </c>
      <c r="P151" s="49">
        <v>2988.7950000000001</v>
      </c>
    </row>
    <row r="152" spans="2:18" x14ac:dyDescent="0.25">
      <c r="B152" s="46" t="s">
        <v>138</v>
      </c>
      <c r="C152" s="49">
        <v>1045.797</v>
      </c>
      <c r="D152" s="49">
        <v>1055.079</v>
      </c>
      <c r="E152" s="49">
        <v>1312.4690000000001</v>
      </c>
      <c r="F152" s="49">
        <v>1320.759</v>
      </c>
      <c r="G152" s="49">
        <v>1572.5809999999999</v>
      </c>
      <c r="H152" s="49">
        <v>1580.1079999999999</v>
      </c>
      <c r="I152" s="49">
        <v>1860.0509999999999</v>
      </c>
      <c r="J152" s="49">
        <v>1872.1189999999999</v>
      </c>
      <c r="K152" s="49">
        <v>2074.1889999999999</v>
      </c>
      <c r="L152" s="49">
        <v>2097.8389999999999</v>
      </c>
      <c r="M152" s="49">
        <v>2201.8820000000001</v>
      </c>
      <c r="N152" s="49">
        <v>2218.2339999999999</v>
      </c>
      <c r="O152" s="49">
        <v>2619.2020000000002</v>
      </c>
      <c r="P152" s="49">
        <v>2617.3910000000001</v>
      </c>
    </row>
    <row r="153" spans="2:18" x14ac:dyDescent="0.25">
      <c r="B153" s="46" t="s">
        <v>139</v>
      </c>
      <c r="C153" s="49">
        <v>838.75599999999997</v>
      </c>
      <c r="D153" s="49">
        <v>854.32600000000002</v>
      </c>
      <c r="E153" s="49">
        <v>1037.9939999999999</v>
      </c>
      <c r="F153" s="49">
        <v>1054.078</v>
      </c>
      <c r="G153" s="49">
        <v>1264.461</v>
      </c>
      <c r="H153" s="49">
        <v>1278.6389999999999</v>
      </c>
      <c r="I153" s="49">
        <v>1517.6469999999999</v>
      </c>
      <c r="J153" s="49">
        <v>1529.6469999999999</v>
      </c>
      <c r="K153" s="49">
        <v>1793.3610000000001</v>
      </c>
      <c r="L153" s="49">
        <v>1818.0820000000001</v>
      </c>
      <c r="M153" s="49">
        <v>2032.4960000000001</v>
      </c>
      <c r="N153" s="49">
        <v>2063.39</v>
      </c>
      <c r="O153" s="49">
        <v>2167.181</v>
      </c>
      <c r="P153" s="49">
        <v>2190.5</v>
      </c>
    </row>
    <row r="154" spans="2:18" x14ac:dyDescent="0.25">
      <c r="B154" s="46" t="s">
        <v>140</v>
      </c>
      <c r="C154" s="49">
        <v>673.80799999999999</v>
      </c>
      <c r="D154" s="49">
        <v>690.19899999999996</v>
      </c>
      <c r="E154" s="49">
        <v>827.22199999999998</v>
      </c>
      <c r="F154" s="49">
        <v>847.08799999999997</v>
      </c>
      <c r="G154" s="49">
        <v>986.48400000000004</v>
      </c>
      <c r="H154" s="49">
        <v>1003.39</v>
      </c>
      <c r="I154" s="49">
        <v>1204.3820000000001</v>
      </c>
      <c r="J154" s="49">
        <v>1214.3209999999999</v>
      </c>
      <c r="K154" s="49">
        <v>1454.2139999999999</v>
      </c>
      <c r="L154" s="49">
        <v>1472.3409999999999</v>
      </c>
      <c r="M154" s="49">
        <v>1748.8420000000001</v>
      </c>
      <c r="N154" s="49">
        <v>1778.5409999999999</v>
      </c>
      <c r="O154" s="49">
        <v>1992.6479999999999</v>
      </c>
      <c r="P154" s="49">
        <v>2030.0440000000001</v>
      </c>
    </row>
    <row r="155" spans="2:18" x14ac:dyDescent="0.25">
      <c r="B155" s="46" t="s">
        <v>141</v>
      </c>
      <c r="C155" s="49">
        <v>535.23599999999999</v>
      </c>
      <c r="D155" s="49">
        <v>553.59100000000001</v>
      </c>
      <c r="E155" s="49">
        <v>655.97500000000002</v>
      </c>
      <c r="F155" s="49">
        <v>677.15700000000004</v>
      </c>
      <c r="G155" s="49">
        <v>771.62599999999998</v>
      </c>
      <c r="H155" s="49">
        <v>793.59900000000005</v>
      </c>
      <c r="I155" s="49">
        <v>922.33500000000004</v>
      </c>
      <c r="J155" s="49">
        <v>935.38099999999997</v>
      </c>
      <c r="K155" s="49">
        <v>1145.7</v>
      </c>
      <c r="L155" s="49">
        <v>1159.8579999999999</v>
      </c>
      <c r="M155" s="49">
        <v>1408.165</v>
      </c>
      <c r="N155" s="49">
        <v>1432.489</v>
      </c>
      <c r="O155" s="49">
        <v>1704.425</v>
      </c>
      <c r="P155" s="49">
        <v>1743.029</v>
      </c>
    </row>
    <row r="156" spans="2:18" x14ac:dyDescent="0.25">
      <c r="B156" s="46" t="s">
        <v>142</v>
      </c>
      <c r="C156" s="49">
        <v>387.92099999999999</v>
      </c>
      <c r="D156" s="49">
        <v>402.33699999999999</v>
      </c>
      <c r="E156" s="49">
        <v>513.16899999999998</v>
      </c>
      <c r="F156" s="49">
        <v>537.63199999999995</v>
      </c>
      <c r="G156" s="49">
        <v>600</v>
      </c>
      <c r="H156" s="49">
        <v>628.12400000000002</v>
      </c>
      <c r="I156" s="49">
        <v>707.25699999999995</v>
      </c>
      <c r="J156" s="49">
        <v>731.42600000000004</v>
      </c>
      <c r="K156" s="49">
        <v>869.54499999999996</v>
      </c>
      <c r="L156" s="49">
        <v>887.47500000000002</v>
      </c>
      <c r="M156" s="49">
        <v>1099.9870000000001</v>
      </c>
      <c r="N156" s="49">
        <v>1121.7439999999999</v>
      </c>
      <c r="O156" s="49">
        <v>1362.4010000000001</v>
      </c>
      <c r="P156" s="49">
        <v>1397.049</v>
      </c>
    </row>
    <row r="157" spans="2:18" x14ac:dyDescent="0.25">
      <c r="B157" s="46" t="s">
        <v>143</v>
      </c>
      <c r="C157" s="49">
        <v>266.21899999999999</v>
      </c>
      <c r="D157" s="49">
        <v>278.68299999999999</v>
      </c>
      <c r="E157" s="49">
        <v>367.01400000000001</v>
      </c>
      <c r="F157" s="49">
        <v>388.214</v>
      </c>
      <c r="G157" s="49">
        <v>462.19200000000001</v>
      </c>
      <c r="H157" s="49">
        <v>497.30700000000002</v>
      </c>
      <c r="I157" s="49">
        <v>541.072</v>
      </c>
      <c r="J157" s="49">
        <v>577.23500000000001</v>
      </c>
      <c r="K157" s="49">
        <v>660.13900000000001</v>
      </c>
      <c r="L157" s="49">
        <v>690.89400000000001</v>
      </c>
      <c r="M157" s="49">
        <v>826.80600000000004</v>
      </c>
      <c r="N157" s="49">
        <v>853.59100000000001</v>
      </c>
      <c r="O157" s="49">
        <v>1055.1659999999999</v>
      </c>
      <c r="P157" s="49">
        <v>1088.4290000000001</v>
      </c>
    </row>
    <row r="158" spans="2:18" x14ac:dyDescent="0.25">
      <c r="B158" s="46" t="s">
        <v>392</v>
      </c>
      <c r="C158" s="49">
        <v>234.86</v>
      </c>
      <c r="D158" s="49">
        <v>251.215</v>
      </c>
      <c r="E158" s="49">
        <v>247.75700000000001</v>
      </c>
      <c r="F158" s="49">
        <v>266.464</v>
      </c>
      <c r="G158" s="49">
        <v>324.85899999999998</v>
      </c>
      <c r="H158" s="49">
        <v>356.84699999999998</v>
      </c>
      <c r="I158" s="49">
        <v>409.03199999999998</v>
      </c>
      <c r="J158" s="49">
        <v>454.13400000000001</v>
      </c>
      <c r="K158" s="49">
        <v>497.05700000000002</v>
      </c>
      <c r="L158" s="49">
        <v>541.01400000000001</v>
      </c>
      <c r="M158" s="49">
        <v>618.23699999999997</v>
      </c>
      <c r="N158" s="49">
        <v>658.98800000000006</v>
      </c>
      <c r="O158" s="49">
        <v>782.09799999999996</v>
      </c>
      <c r="P158" s="49">
        <v>821.97500000000002</v>
      </c>
    </row>
    <row r="159" spans="2:18" x14ac:dyDescent="0.25">
      <c r="B159" s="46" t="s">
        <v>535</v>
      </c>
      <c r="C159" s="49">
        <v>211.23500000000001</v>
      </c>
      <c r="D159" s="49">
        <v>224.55600000000001</v>
      </c>
      <c r="E159" s="49">
        <v>213.07400000000001</v>
      </c>
      <c r="F159" s="49">
        <v>236.12899999999999</v>
      </c>
      <c r="G159" s="49">
        <v>214.274</v>
      </c>
      <c r="H159" s="49">
        <v>242.233</v>
      </c>
      <c r="I159" s="49">
        <v>280.44099999999997</v>
      </c>
      <c r="J159" s="49">
        <v>322.36399999999998</v>
      </c>
      <c r="K159" s="49">
        <v>367.35899999999998</v>
      </c>
      <c r="L159" s="49">
        <v>420.16199999999998</v>
      </c>
      <c r="M159" s="49">
        <v>455.88299999999998</v>
      </c>
      <c r="N159" s="49">
        <v>509.68400000000003</v>
      </c>
      <c r="O159" s="49">
        <v>573.69100000000003</v>
      </c>
      <c r="P159" s="49">
        <v>627.83900000000006</v>
      </c>
    </row>
    <row r="160" spans="2:18" x14ac:dyDescent="0.25">
      <c r="B160" s="46" t="s">
        <v>536</v>
      </c>
      <c r="C160" s="49">
        <v>164.596</v>
      </c>
      <c r="D160" s="49">
        <v>173.36699999999999</v>
      </c>
      <c r="E160" s="49">
        <v>184.48099999999999</v>
      </c>
      <c r="F160" s="49">
        <v>205.55199999999999</v>
      </c>
      <c r="G160" s="49">
        <v>177.34200000000001</v>
      </c>
      <c r="H160" s="49">
        <v>209.96299999999999</v>
      </c>
      <c r="I160" s="49">
        <v>177.60400000000001</v>
      </c>
      <c r="J160" s="49">
        <v>214.01499999999999</v>
      </c>
      <c r="K160" s="49">
        <v>242.78299999999999</v>
      </c>
      <c r="L160" s="49">
        <v>291.30700000000002</v>
      </c>
      <c r="M160" s="49">
        <v>326.197</v>
      </c>
      <c r="N160" s="49">
        <v>387.77100000000002</v>
      </c>
      <c r="O160" s="49">
        <v>410.863</v>
      </c>
      <c r="P160" s="49">
        <v>477.35199999999998</v>
      </c>
    </row>
    <row r="161" spans="1:18" x14ac:dyDescent="0.25">
      <c r="B161" s="46" t="s">
        <v>970</v>
      </c>
      <c r="C161" s="49">
        <v>120.69799999999999</v>
      </c>
      <c r="D161" s="49">
        <v>125.645</v>
      </c>
      <c r="E161" s="49">
        <v>135.017</v>
      </c>
      <c r="F161" s="49">
        <v>151.38499999999999</v>
      </c>
      <c r="G161" s="49">
        <v>143.703</v>
      </c>
      <c r="H161" s="49">
        <v>174.976</v>
      </c>
      <c r="I161" s="49">
        <v>137.04300000000001</v>
      </c>
      <c r="J161" s="49">
        <v>177.5</v>
      </c>
      <c r="K161" s="49">
        <v>144.018</v>
      </c>
      <c r="L161" s="49">
        <v>184.685</v>
      </c>
      <c r="M161" s="49">
        <v>203.68700000000001</v>
      </c>
      <c r="N161" s="49">
        <v>258.214</v>
      </c>
      <c r="O161" s="49">
        <v>279.48099999999999</v>
      </c>
      <c r="P161" s="49">
        <v>351.13</v>
      </c>
    </row>
    <row r="162" spans="1:18" x14ac:dyDescent="0.25">
      <c r="B162" s="46" t="s">
        <v>971</v>
      </c>
      <c r="C162" s="49">
        <v>82.307000000000002</v>
      </c>
      <c r="D162" s="49">
        <v>88.807000000000002</v>
      </c>
      <c r="E162" s="49">
        <v>89.284999999999997</v>
      </c>
      <c r="F162" s="49">
        <v>100.953</v>
      </c>
      <c r="G162" s="49">
        <v>94.103999999999999</v>
      </c>
      <c r="H162" s="49">
        <v>119.01600000000001</v>
      </c>
      <c r="I162" s="49">
        <v>98.856999999999999</v>
      </c>
      <c r="J162" s="49">
        <v>136.50700000000001</v>
      </c>
      <c r="K162" s="49">
        <v>99.944000000000003</v>
      </c>
      <c r="L162" s="49">
        <v>141.065</v>
      </c>
      <c r="M162" s="49">
        <v>110.20399999999999</v>
      </c>
      <c r="N162" s="49">
        <v>152.22</v>
      </c>
      <c r="O162" s="49">
        <v>161.035</v>
      </c>
      <c r="P162" s="49">
        <v>220.03200000000001</v>
      </c>
    </row>
    <row r="163" spans="1:18" x14ac:dyDescent="0.25">
      <c r="B163" s="46" t="s">
        <v>972</v>
      </c>
      <c r="C163" s="49">
        <v>49.774999999999999</v>
      </c>
      <c r="D163" s="49">
        <v>54.652999999999999</v>
      </c>
      <c r="E163" s="49">
        <v>51.314</v>
      </c>
      <c r="F163" s="49">
        <v>61.912999999999997</v>
      </c>
      <c r="G163" s="49">
        <v>51.887999999999998</v>
      </c>
      <c r="H163" s="49">
        <v>69.313999999999993</v>
      </c>
      <c r="I163" s="49">
        <v>53.573</v>
      </c>
      <c r="J163" s="49">
        <v>81.033000000000001</v>
      </c>
      <c r="K163" s="49">
        <v>60.344999999999999</v>
      </c>
      <c r="L163" s="49">
        <v>94.150999999999996</v>
      </c>
      <c r="M163" s="49">
        <v>65.712999999999994</v>
      </c>
      <c r="N163" s="49">
        <v>102.624</v>
      </c>
      <c r="O163" s="49">
        <v>76.403999999999996</v>
      </c>
      <c r="P163" s="49">
        <v>116.86799999999999</v>
      </c>
    </row>
    <row r="164" spans="1:18" x14ac:dyDescent="0.25">
      <c r="B164" s="78" t="s">
        <v>328</v>
      </c>
      <c r="C164" s="79">
        <v>29.832999999999998</v>
      </c>
      <c r="D164" s="80">
        <v>36.995000000000005</v>
      </c>
      <c r="E164" s="79">
        <v>30.677999999999997</v>
      </c>
      <c r="F164" s="80">
        <v>40.189</v>
      </c>
      <c r="G164" s="79">
        <v>28.76</v>
      </c>
      <c r="H164" s="80">
        <v>45.019999999999989</v>
      </c>
      <c r="I164" s="79">
        <v>27.613</v>
      </c>
      <c r="J164" s="80">
        <v>49.994</v>
      </c>
      <c r="K164" s="79">
        <v>30.65</v>
      </c>
      <c r="L164" s="80">
        <v>57.32</v>
      </c>
      <c r="M164" s="79">
        <v>39.680999999999997</v>
      </c>
      <c r="N164" s="80">
        <v>73.600999999999999</v>
      </c>
      <c r="O164" s="79">
        <v>50.151000000000003</v>
      </c>
      <c r="P164" s="80">
        <v>94.126999999999995</v>
      </c>
    </row>
    <row r="165" spans="1:18" x14ac:dyDescent="0.25">
      <c r="B165" s="49"/>
      <c r="C165" s="49"/>
      <c r="D165" s="49"/>
      <c r="E165" s="49"/>
      <c r="F165" s="49"/>
      <c r="G165" s="49"/>
      <c r="H165" s="49"/>
      <c r="I165" s="49"/>
      <c r="J165" s="49"/>
      <c r="K165" s="49"/>
      <c r="L165" s="49"/>
      <c r="M165" s="49"/>
      <c r="N165" s="49"/>
      <c r="O165" s="49"/>
      <c r="P165" s="49"/>
    </row>
    <row r="166" spans="1:18" x14ac:dyDescent="0.25">
      <c r="B166" s="49"/>
      <c r="C166" s="49"/>
      <c r="D166" s="49"/>
      <c r="E166" s="49"/>
      <c r="F166" s="49"/>
      <c r="G166" s="49"/>
      <c r="H166" s="49"/>
      <c r="I166" s="49"/>
      <c r="J166" s="49"/>
      <c r="K166" s="49"/>
      <c r="L166" s="49"/>
      <c r="M166" s="49"/>
      <c r="N166" s="49"/>
      <c r="O166" s="49"/>
      <c r="P166" s="49"/>
    </row>
    <row r="167" spans="1:18" x14ac:dyDescent="0.25">
      <c r="A167" s="2" t="s">
        <v>1139</v>
      </c>
      <c r="B167" s="49"/>
      <c r="C167" s="49"/>
      <c r="D167" s="49"/>
      <c r="E167" s="49"/>
      <c r="F167" s="49"/>
      <c r="G167" s="77"/>
      <c r="H167" s="77" t="s">
        <v>1290</v>
      </c>
      <c r="I167" s="49"/>
      <c r="J167" s="49"/>
      <c r="K167" s="49"/>
      <c r="L167" s="49"/>
      <c r="M167" s="49"/>
      <c r="N167" s="49"/>
      <c r="O167" s="49"/>
      <c r="P167" s="49"/>
    </row>
    <row r="168" spans="1:18" x14ac:dyDescent="0.25">
      <c r="A168">
        <v>1925</v>
      </c>
      <c r="B168" s="49" t="s">
        <v>217</v>
      </c>
      <c r="C168" s="49" t="s">
        <v>222</v>
      </c>
      <c r="D168" s="49"/>
      <c r="E168" s="49"/>
      <c r="F168" s="49"/>
      <c r="G168" s="49"/>
      <c r="H168" s="49" t="s">
        <v>196</v>
      </c>
      <c r="I168" t="s">
        <v>1243</v>
      </c>
      <c r="J168" s="76" t="s">
        <v>1244</v>
      </c>
      <c r="K168" s="76" t="s">
        <v>1011</v>
      </c>
      <c r="L168" s="76" t="s">
        <v>156</v>
      </c>
      <c r="M168" s="76" t="s">
        <v>157</v>
      </c>
      <c r="N168" s="76" t="s">
        <v>1152</v>
      </c>
      <c r="O168" s="49" t="s">
        <v>1245</v>
      </c>
      <c r="P168" s="37"/>
      <c r="Q168" s="16"/>
      <c r="R168" s="37"/>
    </row>
    <row r="169" spans="1:18" x14ac:dyDescent="0.25">
      <c r="B169">
        <v>237.96555161467322</v>
      </c>
      <c r="C169" s="50">
        <v>240.16582243333008</v>
      </c>
      <c r="H169">
        <v>1990</v>
      </c>
      <c r="I169" s="6">
        <f>SUM(C$148:D$149)/SUM($C$148:$D$163)</f>
        <v>0.35549337624979127</v>
      </c>
      <c r="J169" s="6">
        <f>SUM(C$150:D$151)/SUM($C$148:$D$163)</f>
        <v>0.2487095769816785</v>
      </c>
      <c r="K169" s="6">
        <f>SUM(C$152:D$153)/SUM($C$148:$D$163)</f>
        <v>0.16036853215010419</v>
      </c>
      <c r="L169" s="6">
        <f>SUM(C$154:D$155)/SUM($C$148:$D$163)</f>
        <v>0.10367995328041812</v>
      </c>
      <c r="M169" s="6">
        <f>SUM(C$156:D$157)/SUM($C$148:$D$163)</f>
        <v>5.6436483847615897E-2</v>
      </c>
      <c r="N169" s="6">
        <f>SUM(C$158:D$159)/SUM($C$148:$D$163)</f>
        <v>3.896677223603634E-2</v>
      </c>
      <c r="O169" s="6">
        <f>SUM(C$160:D$163)/SUM($C$148:$D$163)</f>
        <v>3.6345305254355149E-2</v>
      </c>
      <c r="P169" s="50"/>
      <c r="Q169" s="50"/>
      <c r="R169" s="50"/>
    </row>
    <row r="170" spans="1:18" x14ac:dyDescent="0.25">
      <c r="B170">
        <v>143.5336735871974</v>
      </c>
      <c r="C170">
        <v>145.29123968058661</v>
      </c>
      <c r="D170" s="50"/>
      <c r="E170" s="50"/>
      <c r="F170" s="50"/>
      <c r="G170" s="50"/>
      <c r="H170">
        <v>1995</v>
      </c>
      <c r="I170" s="6">
        <f>SUM(E148:F149)/SUM($E$148:$F$163)</f>
        <v>0.329724598997091</v>
      </c>
      <c r="J170" s="6">
        <f>SUM(E150:F151)/SUM($E$148:$F$163)</f>
        <v>0.25572087374171532</v>
      </c>
      <c r="K170" s="6">
        <f>SUM(E152:F153)/SUM($E$148:$F$163)</f>
        <v>0.17060427628122893</v>
      </c>
      <c r="L170" s="6">
        <f>SUM(E154:F155)/SUM($E$148:$F$163)</f>
        <v>0.10858198757068795</v>
      </c>
      <c r="M170" s="6">
        <f>SUM(E156:F157)/SUM($E$148:$F$163)</f>
        <v>6.5205652654415941E-2</v>
      </c>
      <c r="N170" s="6">
        <f>SUM(E158:F159)/SUM($E$148:$F$163)</f>
        <v>3.4783877060073805E-2</v>
      </c>
      <c r="O170" s="6">
        <f>SUM(E160:F163)/SUM($E$148:$F$163)</f>
        <v>3.5378733694786835E-2</v>
      </c>
      <c r="P170" s="50"/>
      <c r="Q170" s="50"/>
      <c r="R170" s="50"/>
    </row>
    <row r="171" spans="1:18" x14ac:dyDescent="0.25">
      <c r="B171">
        <v>110.24191683969217</v>
      </c>
      <c r="C171">
        <v>110.9988196360878</v>
      </c>
      <c r="H171">
        <v>2000</v>
      </c>
      <c r="I171" s="6">
        <f>SUM(G148:H149)/SUM($G$148:$H$163)</f>
        <v>0.31791370276114633</v>
      </c>
      <c r="J171" s="6">
        <f>SUM(G150:H151)/SUM($G$148:$H$163)</f>
        <v>0.2550967008423784</v>
      </c>
      <c r="K171" s="6">
        <f>SUM(G152:H153)/SUM($G$148:$H$163)</f>
        <v>0.17860301741785722</v>
      </c>
      <c r="L171" s="6">
        <f>SUM(G154:H155)/SUM($G$148:$H$163)</f>
        <v>0.11147734029810565</v>
      </c>
      <c r="M171" s="6">
        <f>SUM(G156:H157)/SUM($G$148:$H$163)</f>
        <v>6.8597356533520656E-2</v>
      </c>
      <c r="N171" s="6">
        <f>SUM(G158:H159)/SUM($G$148:$H$163)</f>
        <v>3.5690977363141703E-2</v>
      </c>
      <c r="O171" s="6">
        <f>SUM(G$160:H$163)/SUM($G$148:$H$163)</f>
        <v>3.2620904783850206E-2</v>
      </c>
      <c r="P171" s="50"/>
      <c r="Q171" s="50"/>
      <c r="R171" s="50"/>
    </row>
    <row r="172" spans="1:18" x14ac:dyDescent="0.25">
      <c r="B172">
        <v>99.096251769889548</v>
      </c>
      <c r="C172">
        <v>97.33925564881072</v>
      </c>
      <c r="H172">
        <v>2005</v>
      </c>
      <c r="I172" s="6">
        <f>SUM(I148:J149)/SUM($I$148:$J$163)</f>
        <v>0.31717005556362726</v>
      </c>
      <c r="J172" s="6">
        <f>SUM(I150:J151)/SUM($I$148:$J$163)</f>
        <v>0.24080056277770526</v>
      </c>
      <c r="K172" s="6">
        <f>SUM(I152:J153)/SUM($I$148:$J$163)</f>
        <v>0.185498404943294</v>
      </c>
      <c r="L172" s="6">
        <f>SUM(I154:J155)/SUM($I$148:$J$163)</f>
        <v>0.11701056357393393</v>
      </c>
      <c r="M172" s="6">
        <f>SUM(I156:J157)/SUM($I$148:$J$163)</f>
        <v>6.9963874202437451E-2</v>
      </c>
      <c r="N172" s="6">
        <f>SUM(I158:J159)/SUM($I$148:$J$163)</f>
        <v>4.0111619767156471E-2</v>
      </c>
      <c r="O172" s="6">
        <f>SUM(I160:J163)/SUM($I$148:$J$163)</f>
        <v>2.9444919171845576E-2</v>
      </c>
      <c r="P172" s="50"/>
      <c r="Q172" s="50"/>
      <c r="R172" s="50"/>
    </row>
    <row r="173" spans="1:18" x14ac:dyDescent="0.25">
      <c r="B173">
        <v>91.12132295655455</v>
      </c>
      <c r="C173">
        <v>86.235432425086415</v>
      </c>
      <c r="H173">
        <v>2010</v>
      </c>
      <c r="I173" s="6">
        <f>SUM(K148:L149)/SUM(K148:L163)</f>
        <v>0.30836194815624002</v>
      </c>
      <c r="J173" s="6">
        <f>SUM(K150:L151)/SUM(K148:L163)</f>
        <v>0.23369136293850706</v>
      </c>
      <c r="K173" s="6">
        <f>SUM(K152:L153)/SUM(K148:L163)</f>
        <v>0.18557385199250581</v>
      </c>
      <c r="L173" s="6">
        <f>SUM(K154:L155)/SUM(K148:L163)</f>
        <v>0.12474426428389926</v>
      </c>
      <c r="M173" s="6">
        <f>SUM(K156:L157)/SUM(K148:L163)</f>
        <v>7.4102333959600239E-2</v>
      </c>
      <c r="N173" s="6">
        <f>SUM(K158:L159)/SUM(K148:L163)</f>
        <v>4.3525843368171176E-2</v>
      </c>
      <c r="O173" s="6">
        <f>SUM(K160:L163)/SUM(K148:L163)</f>
        <v>3.0000395301076618E-2</v>
      </c>
      <c r="P173" s="50"/>
      <c r="Q173" s="50"/>
      <c r="R173" s="50"/>
    </row>
    <row r="174" spans="1:18" x14ac:dyDescent="0.25">
      <c r="B174">
        <v>84.684848684181148</v>
      </c>
      <c r="C174">
        <v>75.946598869604159</v>
      </c>
      <c r="H174" s="16">
        <v>2015</v>
      </c>
      <c r="I174" s="6">
        <f>SUM(M148:N149)/SUM($M$148:$N$163)</f>
        <v>0.28891821483642321</v>
      </c>
      <c r="J174" s="6">
        <f>SUM(M150:N151)/SUM($M$148:$N$163)</f>
        <v>0.23718746949260416</v>
      </c>
      <c r="K174" s="6">
        <f>SUM(M152:N153)/SUM($M$148:$N$163)</f>
        <v>0.17828937166347358</v>
      </c>
      <c r="L174" s="6">
        <f>SUM(M154:N155)/SUM($M$148:$N$163)</f>
        <v>0.13331999164158853</v>
      </c>
      <c r="M174" s="6">
        <f>SUM(M156:N157)/SUM($M$148:$N$163)</f>
        <v>8.1694197496718149E-2</v>
      </c>
      <c r="N174" s="6">
        <f>SUM(M158:N159)/SUM($M$148:$N$163)</f>
        <v>4.6954659763098365E-2</v>
      </c>
      <c r="O174" s="6">
        <f>SUM(M160:N163)/SUM($M$148:$N$163)</f>
        <v>3.3636095106093979E-2</v>
      </c>
    </row>
    <row r="175" spans="1:18" x14ac:dyDescent="0.25">
      <c r="B175">
        <v>80.169709605596097</v>
      </c>
      <c r="C175">
        <v>68.470328142000795</v>
      </c>
      <c r="H175">
        <v>2020</v>
      </c>
      <c r="I175" s="6">
        <f>SUM(O148:P149)/SUM($O$148:$P$163)</f>
        <v>0.26132180153505447</v>
      </c>
      <c r="J175" s="6">
        <f>SUM(O150:P151)/SUM($O$148:$P$163)</f>
        <v>0.23769507469573828</v>
      </c>
      <c r="K175" s="6">
        <f>SUM(O152:P153)/SUM($O$148:$P$163)</f>
        <v>0.17890745452917378</v>
      </c>
      <c r="L175" s="6">
        <f>SUM(O154:P155)/SUM($O$148:$P$163)</f>
        <v>0.13929816949373025</v>
      </c>
      <c r="M175" s="6">
        <f>SUM(O156:P157)/SUM($O$148:$P$163)</f>
        <v>9.1428627157405837E-2</v>
      </c>
      <c r="N175" s="6">
        <f>SUM(O158:P159)/SUM($O$148:$P$163)</f>
        <v>5.231696438411218E-2</v>
      </c>
      <c r="O175" s="6">
        <f>SUM(O160:P163)/SUM($O$148:$P$163)</f>
        <v>3.9031908204785269E-2</v>
      </c>
    </row>
    <row r="176" spans="1:18" x14ac:dyDescent="0.25">
      <c r="B176">
        <v>78.914366008321068</v>
      </c>
      <c r="C176">
        <v>63.501959516313946</v>
      </c>
      <c r="H176" s="77" t="s">
        <v>1291</v>
      </c>
      <c r="J176" s="37"/>
      <c r="K176" s="37"/>
      <c r="L176" s="37"/>
    </row>
    <row r="177" spans="2:15" x14ac:dyDescent="0.25">
      <c r="B177">
        <v>79.281505233843589</v>
      </c>
      <c r="C177">
        <v>61.808893525808607</v>
      </c>
      <c r="H177" s="49" t="s">
        <v>196</v>
      </c>
      <c r="I177" s="37" t="s">
        <v>1243</v>
      </c>
      <c r="J177" s="76" t="s">
        <v>1244</v>
      </c>
      <c r="K177" s="76" t="s">
        <v>1011</v>
      </c>
      <c r="L177" s="76" t="s">
        <v>156</v>
      </c>
      <c r="M177" s="76" t="s">
        <v>157</v>
      </c>
      <c r="N177" s="76" t="s">
        <v>1152</v>
      </c>
      <c r="O177" s="49" t="s">
        <v>1245</v>
      </c>
    </row>
    <row r="178" spans="2:15" x14ac:dyDescent="0.25">
      <c r="B178">
        <v>76.761204690685659</v>
      </c>
      <c r="C178">
        <v>63.34770383640879</v>
      </c>
      <c r="H178" s="37">
        <v>1990</v>
      </c>
      <c r="I178" s="40">
        <f>SUM(C$148:D$149)*1000</f>
        <v>8410171.9999999981</v>
      </c>
      <c r="J178" s="37">
        <f>SUM(C$150:D$151)*1000</f>
        <v>5883907.9999999991</v>
      </c>
      <c r="K178" s="37">
        <f>SUM(C$152:D$153)*1000</f>
        <v>3793958</v>
      </c>
      <c r="L178" s="37">
        <f>SUM(C$154:D$155)*1000</f>
        <v>2452834</v>
      </c>
      <c r="M178" s="37">
        <f>SUM(C$156:D$157)*1000</f>
        <v>1335160</v>
      </c>
      <c r="N178" s="37">
        <f>SUM(C$158:D$159)*1000</f>
        <v>921866.00000000012</v>
      </c>
      <c r="O178" s="37">
        <f>SUM(C$160:D$163)*1000</f>
        <v>859848</v>
      </c>
    </row>
    <row r="179" spans="2:15" x14ac:dyDescent="0.25">
      <c r="B179">
        <v>68.455356551320349</v>
      </c>
      <c r="C179">
        <v>62.295140446760811</v>
      </c>
      <c r="H179" s="37">
        <v>1995</v>
      </c>
      <c r="I179" s="40">
        <f>SUM(E148:F149)*1000</f>
        <v>9132524</v>
      </c>
      <c r="J179" s="37">
        <f>SUM(E150:F151)*1000</f>
        <v>7082811</v>
      </c>
      <c r="K179" s="37">
        <f>SUM(E152:F153)*1000</f>
        <v>4725299.9999999991</v>
      </c>
      <c r="L179" s="37">
        <f>SUM(E154:F155)*1000</f>
        <v>3007442</v>
      </c>
      <c r="M179" s="37">
        <f>SUM(E156:F157)*1000</f>
        <v>1806029</v>
      </c>
      <c r="N179" s="37">
        <f>SUM(E158:F159)*1000</f>
        <v>963424.00000000012</v>
      </c>
      <c r="O179" s="37">
        <f>SUM(E160:F163)*1000</f>
        <v>979899.99999999988</v>
      </c>
    </row>
    <row r="180" spans="2:15" x14ac:dyDescent="0.25">
      <c r="B180">
        <v>52.79761793175328</v>
      </c>
      <c r="C180">
        <v>53.896253314179141</v>
      </c>
      <c r="H180" s="37">
        <v>2000</v>
      </c>
      <c r="I180" s="40">
        <f>SUM(G148:H149)*1000</f>
        <v>10138515</v>
      </c>
      <c r="J180" s="37">
        <f>SUM(G150:H151)*1000</f>
        <v>8135232</v>
      </c>
      <c r="K180" s="37">
        <f>SUM(G152:H153)*1000</f>
        <v>5695789</v>
      </c>
      <c r="L180" s="37">
        <f>SUM(G154:H155)*1000</f>
        <v>3555099</v>
      </c>
      <c r="M180" s="37">
        <f>SUM(G156:H157)*1000</f>
        <v>2187623</v>
      </c>
      <c r="N180" s="37">
        <f>SUM(G158:H159)*1000</f>
        <v>1138213</v>
      </c>
      <c r="O180" s="37">
        <f>SUM(G160:H163)*1000</f>
        <v>1040306</v>
      </c>
    </row>
    <row r="181" spans="2:15" x14ac:dyDescent="0.25">
      <c r="B181">
        <v>39.426762855575767</v>
      </c>
      <c r="C181">
        <v>45.40045622230565</v>
      </c>
      <c r="H181" s="37">
        <v>2005</v>
      </c>
      <c r="I181" s="37">
        <f>SUM(I148:J149)*1000</f>
        <v>11591705.999999998</v>
      </c>
      <c r="J181" s="37">
        <f>SUM(I150:J151)*1000</f>
        <v>8800608</v>
      </c>
      <c r="K181" s="37">
        <f>SUM(I152:J153)*1000</f>
        <v>6779464</v>
      </c>
      <c r="L181" s="37">
        <f>SUM(I154:J155)*1000</f>
        <v>4276419</v>
      </c>
      <c r="M181" s="37">
        <f>SUM(I156:J157)*1000</f>
        <v>2556990.0000000005</v>
      </c>
      <c r="N181" s="37">
        <f>SUM(I158:J159)*1000</f>
        <v>1465971</v>
      </c>
      <c r="O181" s="37">
        <f>SUM(I160:J163)*1000</f>
        <v>1076132</v>
      </c>
    </row>
    <row r="182" spans="2:15" x14ac:dyDescent="0.25">
      <c r="B182">
        <v>27.874793548603069</v>
      </c>
      <c r="C182">
        <v>36.6473892522082</v>
      </c>
      <c r="H182" s="37">
        <v>2010</v>
      </c>
      <c r="I182" s="37">
        <f>SUM(K148:L149)*1000</f>
        <v>12933537</v>
      </c>
      <c r="J182" s="37">
        <f>SUM(K150:L151)*1000</f>
        <v>9801650</v>
      </c>
      <c r="K182" s="37">
        <f>SUM(K152:L153)*1000</f>
        <v>7783471</v>
      </c>
      <c r="L182" s="37">
        <f>SUM(K154:L155)*1000</f>
        <v>5232113</v>
      </c>
      <c r="M182" s="37">
        <f>SUM(K156:L157)*1000</f>
        <v>3108053</v>
      </c>
      <c r="N182" s="37">
        <f>SUM(K158:L159)*1000</f>
        <v>1825591.9999999998</v>
      </c>
      <c r="O182" s="37">
        <f>SUM(K160:L163)*1000</f>
        <v>1258298.0000000002</v>
      </c>
    </row>
    <row r="183" spans="2:15" x14ac:dyDescent="0.25">
      <c r="B183">
        <v>16.552556838385421</v>
      </c>
      <c r="C183">
        <v>25.00566497705227</v>
      </c>
      <c r="H183" s="16">
        <v>2015</v>
      </c>
      <c r="I183" s="37">
        <f>SUM(M148:N149)*1000</f>
        <v>13800195</v>
      </c>
      <c r="J183" s="37">
        <f>SUM(M150:N151)*1000</f>
        <v>11329273</v>
      </c>
      <c r="K183" s="37">
        <f>SUM(M152:N153)*1000</f>
        <v>8516002</v>
      </c>
      <c r="L183" s="37">
        <f>SUM(M154:N155)*1000</f>
        <v>6368037</v>
      </c>
      <c r="M183" s="37">
        <f>SUM(M156:N157)*1000</f>
        <v>3902127.9999999995</v>
      </c>
      <c r="N183" s="37">
        <f>SUM(M158:N159)*1000</f>
        <v>2242792</v>
      </c>
      <c r="O183" s="37">
        <f>SUM(M160:N163)*1000</f>
        <v>1606630</v>
      </c>
    </row>
    <row r="184" spans="2:15" x14ac:dyDescent="0.25">
      <c r="B184">
        <v>7.9053693325667238</v>
      </c>
      <c r="C184">
        <v>14.68347255314491</v>
      </c>
      <c r="H184">
        <v>2020</v>
      </c>
      <c r="I184" s="40">
        <f>SUM(O148:P149)*1000</f>
        <v>14013910</v>
      </c>
      <c r="J184" s="37">
        <f>SUM(O150:P151)*1000</f>
        <v>12746878.999999998</v>
      </c>
      <c r="K184" s="37">
        <f>SUM(O152:P153)*1000</f>
        <v>9594274.0000000019</v>
      </c>
      <c r="L184" s="37">
        <f>SUM(O154:P155)*1000</f>
        <v>7470146.0000000009</v>
      </c>
      <c r="M184" s="37">
        <f>SUM(O156:P157)*1000</f>
        <v>4903045</v>
      </c>
      <c r="N184" s="37">
        <f>SUM(O158:P159)*1000</f>
        <v>2805603</v>
      </c>
      <c r="O184" s="37">
        <f>SUM(O160:P163)*1000</f>
        <v>2093165</v>
      </c>
    </row>
    <row r="185" spans="2:15" x14ac:dyDescent="0.25">
      <c r="H185" s="37"/>
    </row>
    <row r="186" spans="2:15" x14ac:dyDescent="0.25">
      <c r="H186" s="77" t="s">
        <v>1292</v>
      </c>
      <c r="I186" s="37"/>
      <c r="J186" s="37"/>
      <c r="K186" s="37"/>
      <c r="L186" s="37"/>
      <c r="M186" s="37"/>
      <c r="N186" s="37"/>
      <c r="O186" s="37"/>
    </row>
    <row r="187" spans="2:15" x14ac:dyDescent="0.25">
      <c r="H187" s="49" t="s">
        <v>196</v>
      </c>
      <c r="I187" s="37" t="s">
        <v>1243</v>
      </c>
      <c r="J187" s="76" t="s">
        <v>1244</v>
      </c>
      <c r="K187" s="76" t="s">
        <v>1011</v>
      </c>
      <c r="L187" s="76" t="s">
        <v>156</v>
      </c>
      <c r="M187" s="76" t="s">
        <v>157</v>
      </c>
      <c r="N187" s="76" t="s">
        <v>1152</v>
      </c>
      <c r="O187" s="49" t="s">
        <v>1245</v>
      </c>
    </row>
    <row r="188" spans="2:15" x14ac:dyDescent="0.25">
      <c r="H188" s="37">
        <v>1990</v>
      </c>
      <c r="I188" s="40">
        <f>SUM(D$148:D$149)*1000</f>
        <v>4178290</v>
      </c>
      <c r="J188" s="37">
        <f>SUM(D$150:D$151)*1000</f>
        <v>2936779.9999999995</v>
      </c>
      <c r="K188" s="37">
        <f>SUM(D$152:D$153)*1000</f>
        <v>1909405</v>
      </c>
      <c r="L188" s="37">
        <f>SUM(D$154:D$155)*1000</f>
        <v>1243790</v>
      </c>
      <c r="M188" s="37">
        <f>SUM(D$156:D$157)*1000</f>
        <v>681020</v>
      </c>
      <c r="N188" s="37">
        <f>SUM(D$158:D$159)*1000</f>
        <v>475771</v>
      </c>
      <c r="O188" s="37">
        <f>SUM(D$160:D$163)*1000</f>
        <v>442472.00000000006</v>
      </c>
    </row>
    <row r="189" spans="2:15" x14ac:dyDescent="0.25">
      <c r="H189" s="37">
        <v>1995</v>
      </c>
      <c r="I189" s="40">
        <f>SUM(F148:F149)*1000</f>
        <v>4536942</v>
      </c>
      <c r="J189" s="37">
        <f>SUM(F150:F151)*1000</f>
        <v>3533253</v>
      </c>
      <c r="K189" s="37">
        <f>SUM(F$152:F$153)*1000</f>
        <v>2374837</v>
      </c>
      <c r="L189" s="37">
        <f>SUM(F$154:F$155)*1000</f>
        <v>1524245</v>
      </c>
      <c r="M189" s="37">
        <f>SUM(F$156:F$157)*1000</f>
        <v>925846</v>
      </c>
      <c r="N189" s="37">
        <f>SUM(F$158:F$159)*1000</f>
        <v>502592.99999999994</v>
      </c>
      <c r="O189" s="37">
        <f>SUM(F$160:F$163)*1000</f>
        <v>519803</v>
      </c>
    </row>
    <row r="190" spans="2:15" x14ac:dyDescent="0.25">
      <c r="H190" s="37">
        <v>2000</v>
      </c>
      <c r="I190" s="40">
        <f>SUM(H148:H149)*1000</f>
        <v>5035041.9999999991</v>
      </c>
      <c r="J190" s="37">
        <f>SUM(H150:H151)*1000</f>
        <v>4064173</v>
      </c>
      <c r="K190" s="37">
        <f>SUM(H$152:H$153)*1000</f>
        <v>2858747</v>
      </c>
      <c r="L190" s="37">
        <f>SUM(H$154:H$155)*1000</f>
        <v>1796989</v>
      </c>
      <c r="M190" s="37">
        <f>SUM(H$156:H$157)*1000</f>
        <v>1125431</v>
      </c>
      <c r="N190" s="37">
        <f>SUM(H$158:H$159)*1000</f>
        <v>599079.99999999988</v>
      </c>
      <c r="O190" s="37">
        <f>SUM(H$160:H$163)*1000</f>
        <v>573269</v>
      </c>
    </row>
    <row r="191" spans="2:15" x14ac:dyDescent="0.25">
      <c r="H191" s="37">
        <v>2005</v>
      </c>
      <c r="I191" s="37">
        <f>SUM(J148:J149)*1000</f>
        <v>5753918</v>
      </c>
      <c r="J191" s="37">
        <f>SUM(J150:J151)*1000</f>
        <v>4403277</v>
      </c>
      <c r="K191" s="37">
        <f>SUM(J$152:J$153)*1000</f>
        <v>3401765.9999999995</v>
      </c>
      <c r="L191" s="37">
        <f>SUM(J$154:J$155)*1000</f>
        <v>2149702</v>
      </c>
      <c r="M191" s="37">
        <f>SUM(J$156:J$157)*1000</f>
        <v>1308661</v>
      </c>
      <c r="N191" s="37">
        <f>SUM(J$158:J$159)*1000</f>
        <v>776498</v>
      </c>
      <c r="O191" s="37">
        <f>SUM(J$160:J$163)*1000</f>
        <v>609055</v>
      </c>
    </row>
    <row r="192" spans="2:15" x14ac:dyDescent="0.25">
      <c r="H192" s="37">
        <v>2010</v>
      </c>
      <c r="I192" s="37">
        <f>SUM(L148:L149)*1000</f>
        <v>6409230</v>
      </c>
      <c r="J192" s="37">
        <f>SUM(L150:L151)*1000</f>
        <v>4896419</v>
      </c>
      <c r="K192" s="37">
        <f>SUM(L$152:L$153)*1000</f>
        <v>3915921.0000000005</v>
      </c>
      <c r="L192" s="37">
        <f>SUM(L$154:L$155)*1000</f>
        <v>2632198.9999999995</v>
      </c>
      <c r="M192" s="37">
        <f>SUM(L$156:L$157)*1000</f>
        <v>1578369.0000000002</v>
      </c>
      <c r="N192" s="37">
        <f>SUM(L$158:L$159)*1000</f>
        <v>961175.99999999988</v>
      </c>
      <c r="O192" s="37">
        <f>SUM(L$160:L$163)*1000</f>
        <v>711208</v>
      </c>
    </row>
    <row r="193" spans="1:15" x14ac:dyDescent="0.25">
      <c r="H193" s="16">
        <v>2015</v>
      </c>
      <c r="I193" s="37">
        <f>SUM(N148:N149)*1000</f>
        <v>6844365</v>
      </c>
      <c r="J193" s="37">
        <f>SUM(N150:N151)*1000</f>
        <v>5640273.9999999991</v>
      </c>
      <c r="K193" s="37">
        <f>SUM(N$152:N$153)*1000</f>
        <v>4281624</v>
      </c>
      <c r="L193" s="37">
        <f>SUM(N$154:N$155)*1000</f>
        <v>3211029.9999999995</v>
      </c>
      <c r="M193" s="37">
        <f>SUM(N$156:N$157)*1000</f>
        <v>1975335</v>
      </c>
      <c r="N193" s="37">
        <f>SUM(N$158:N$159)*1000</f>
        <v>1168672</v>
      </c>
      <c r="O193" s="37">
        <f>SUM(N$160:N$163)*1000</f>
        <v>900829.00000000012</v>
      </c>
    </row>
    <row r="194" spans="1:15" x14ac:dyDescent="0.25">
      <c r="H194" s="37">
        <v>2020</v>
      </c>
      <c r="I194" s="40">
        <f>SUM(P148:P149)*1000</f>
        <v>6947300</v>
      </c>
      <c r="J194" s="37">
        <f>SUM(P150:P151)*1000</f>
        <v>6329708.0000000009</v>
      </c>
      <c r="K194" s="37">
        <f>SUM(P$152:P$153)*1000</f>
        <v>4807891</v>
      </c>
      <c r="L194" s="37">
        <f>SUM(P$154:P$155)*1000</f>
        <v>3773073.0000000005</v>
      </c>
      <c r="M194" s="37">
        <f>SUM(P$156:P$157)*1000</f>
        <v>2485478</v>
      </c>
      <c r="N194" s="37">
        <f>SUM(P$158:P$159)*1000</f>
        <v>1449814</v>
      </c>
      <c r="O194" s="37">
        <f>SUM(P$160:P$163)*1000</f>
        <v>1165381.9999999998</v>
      </c>
    </row>
    <row r="196" spans="1:15" x14ac:dyDescent="0.25">
      <c r="A196" t="s">
        <v>1297</v>
      </c>
      <c r="H196" s="77" t="s">
        <v>1333</v>
      </c>
      <c r="I196" s="49"/>
      <c r="J196" s="49"/>
      <c r="K196" s="49"/>
      <c r="L196" s="49"/>
      <c r="M196" s="49"/>
      <c r="N196" s="49"/>
      <c r="O196" s="49"/>
    </row>
    <row r="197" spans="1:15" x14ac:dyDescent="0.25">
      <c r="B197" t="s">
        <v>1072</v>
      </c>
      <c r="C197" t="s">
        <v>1298</v>
      </c>
      <c r="D197" t="s">
        <v>1306</v>
      </c>
      <c r="E197" t="s">
        <v>1299</v>
      </c>
      <c r="F197" s="37"/>
      <c r="G197" s="37"/>
      <c r="H197" s="49" t="s">
        <v>196</v>
      </c>
      <c r="I197" s="37" t="s">
        <v>1243</v>
      </c>
      <c r="J197" s="76" t="s">
        <v>1244</v>
      </c>
      <c r="K197" s="76" t="s">
        <v>1011</v>
      </c>
      <c r="L197" s="76" t="s">
        <v>156</v>
      </c>
      <c r="M197" s="76" t="s">
        <v>157</v>
      </c>
      <c r="N197" s="76" t="s">
        <v>1152</v>
      </c>
      <c r="O197" s="49" t="s">
        <v>1245</v>
      </c>
    </row>
    <row r="198" spans="1:15" x14ac:dyDescent="0.25">
      <c r="B198">
        <v>1979</v>
      </c>
      <c r="C198" s="26">
        <f>(I4+I5+H4+H5)/(I$22+H22)*100</f>
        <v>34.876414407092994</v>
      </c>
      <c r="E198" s="8">
        <f>SUM(O128:P129)/SUM(O128:P144)*100</f>
        <v>36.984089189857748</v>
      </c>
      <c r="F198" s="8"/>
      <c r="G198" s="8"/>
      <c r="H198" s="37">
        <v>1990</v>
      </c>
      <c r="I198" s="6">
        <v>0.35417126440124502</v>
      </c>
      <c r="J198" s="6">
        <v>0.25551457275141598</v>
      </c>
      <c r="K198" s="6">
        <v>0.14689455462850001</v>
      </c>
      <c r="L198" s="6">
        <v>9.01258624494677E-2</v>
      </c>
      <c r="M198" s="6">
        <v>5.83984999837475E-2</v>
      </c>
      <c r="N198" s="6">
        <f>SUM(C40:D41)/E48</f>
        <v>4.4009087689704664E-2</v>
      </c>
      <c r="O198" s="6">
        <f>SUM(C44:D45)/E48</f>
        <v>1.5014989327553161E-2</v>
      </c>
    </row>
    <row r="199" spans="1:15" x14ac:dyDescent="0.25">
      <c r="B199">
        <v>1989</v>
      </c>
      <c r="C199" s="26">
        <f>(H30+H31+I30+I31)/(H48+I48)*100</f>
        <v>33.898080530745808</v>
      </c>
      <c r="D199" s="8">
        <f>(C30+C31+D30+D31)/(C48+D48)*100</f>
        <v>35.417126440124527</v>
      </c>
      <c r="E199" s="8">
        <f>SUM(C148:D149)/SUM(C148:D164)*100</f>
        <v>35.449201321802434</v>
      </c>
      <c r="F199" s="8"/>
      <c r="G199" s="8"/>
      <c r="H199" s="37">
        <v>2000</v>
      </c>
      <c r="I199" s="6">
        <v>0.302247896041069</v>
      </c>
      <c r="J199" s="6">
        <v>0.28193004137338101</v>
      </c>
      <c r="K199" s="6">
        <v>0.157462690644953</v>
      </c>
      <c r="L199" s="6">
        <v>9.7309409689367202E-2</v>
      </c>
      <c r="M199" s="6">
        <v>6.4470028204570096E-2</v>
      </c>
      <c r="N199" s="6">
        <f>SUM(C77:D78)/E85</f>
        <v>4.031514076329927E-2</v>
      </c>
      <c r="O199" s="6">
        <f>SUM(C79:D80)/E85</f>
        <v>2.9362988354800196E-2</v>
      </c>
    </row>
    <row r="200" spans="1:15" x14ac:dyDescent="0.25">
      <c r="B200">
        <v>1999</v>
      </c>
      <c r="C200" s="26">
        <f>(H67+H68+I67+I68)/(H85+I85)*100</f>
        <v>29.624339399009969</v>
      </c>
      <c r="D200" s="8">
        <f>(C67+C68+D67+D68)/(C85+D85)*100</f>
        <v>30.22478960410692</v>
      </c>
      <c r="E200" s="8">
        <f>SUM(G148:H149)/SUM(G148:H164)*100</f>
        <v>31.717990022511501</v>
      </c>
      <c r="F200" s="8"/>
      <c r="G200" s="8"/>
      <c r="H200" s="37">
        <v>2010</v>
      </c>
      <c r="I200" s="6">
        <v>0.323880691074724</v>
      </c>
      <c r="J200" s="6">
        <v>0.25107212196274997</v>
      </c>
      <c r="K200" s="6">
        <v>0.16924690655079799</v>
      </c>
      <c r="L200" s="6">
        <v>9.6823990838389204E-2</v>
      </c>
      <c r="M200" s="6">
        <v>6.2541443041895795E-2</v>
      </c>
      <c r="N200" s="6">
        <f>SUM(C101:D102)/E109</f>
        <v>4.3876847401965673E-2</v>
      </c>
      <c r="O200" s="6">
        <f>SUM(C103:D104)/E109</f>
        <v>2.6614861601139579E-2</v>
      </c>
    </row>
    <row r="201" spans="1:15" x14ac:dyDescent="0.25">
      <c r="B201">
        <v>2009</v>
      </c>
      <c r="C201" s="26">
        <f>(H91+H92+I91+I92)/(H109+I109)*100</f>
        <v>29.880841791202961</v>
      </c>
      <c r="D201" s="8">
        <f>(C91+C92+D91+D92)/(D109+C109)*100</f>
        <v>32.388069107472361</v>
      </c>
      <c r="E201" s="8">
        <f>SUM(K148:L149)/SUM(K148:L164)*100</f>
        <v>30.771654822462569</v>
      </c>
      <c r="F201" s="8"/>
      <c r="G201" s="8"/>
    </row>
    <row r="203" spans="1:15" x14ac:dyDescent="0.25">
      <c r="B203" s="37" t="s">
        <v>1072</v>
      </c>
      <c r="C203" s="37" t="s">
        <v>1300</v>
      </c>
      <c r="D203" s="37" t="s">
        <v>1307</v>
      </c>
      <c r="E203" s="37" t="s">
        <v>1301</v>
      </c>
      <c r="F203" s="37"/>
      <c r="G203" s="37"/>
    </row>
    <row r="204" spans="1:15" x14ac:dyDescent="0.25">
      <c r="B204" s="37">
        <v>1979</v>
      </c>
      <c r="C204" s="26">
        <f>(I6+I7+H6+H7)/(H22+I$22)*100</f>
        <v>24.949155343304064</v>
      </c>
      <c r="D204" s="37"/>
      <c r="E204" s="8">
        <f>SUM(O130:P131)/SUM(O128:P144)*100</f>
        <v>23.759083688007031</v>
      </c>
      <c r="F204" s="8"/>
      <c r="G204" s="8"/>
    </row>
    <row r="205" spans="1:15" x14ac:dyDescent="0.25">
      <c r="B205" s="37">
        <v>1989</v>
      </c>
      <c r="C205" s="26">
        <f>(I32+I33+H32+H33)/(I48+H48)*100</f>
        <v>25.034877480666058</v>
      </c>
      <c r="D205" s="8">
        <f>(C32+C33+D32+D33)/(D48+C48)*100</f>
        <v>25.551457275141555</v>
      </c>
      <c r="E205" s="8">
        <f>SUM(C150:D151)/SUM(C148:D164)*100</f>
        <v>24.800900534610221</v>
      </c>
      <c r="F205" s="8"/>
      <c r="G205" s="8"/>
    </row>
    <row r="206" spans="1:15" x14ac:dyDescent="0.25">
      <c r="B206" s="37">
        <v>1999</v>
      </c>
      <c r="C206" s="26">
        <f>(H69+H70+I69+I70)/(I85+H85)*100</f>
        <v>25.942316809593528</v>
      </c>
      <c r="D206" s="8">
        <f>(C69+C70+D69+D70)/(C85+D85)*100</f>
        <v>28.193004137338136</v>
      </c>
      <c r="E206" s="8">
        <f>SUM(G150:H151)/SUM(G148:H164)*100</f>
        <v>25.450789134978475</v>
      </c>
      <c r="F206" s="8"/>
      <c r="G206" s="8"/>
    </row>
    <row r="207" spans="1:15" x14ac:dyDescent="0.25">
      <c r="B207" s="37">
        <v>2009</v>
      </c>
      <c r="C207" s="26">
        <f>(H93+H94+I93+I94)/(I109+H109)*100</f>
        <v>23.839354767743785</v>
      </c>
      <c r="D207" s="8">
        <f>(C93+C94+D93+D94)/(D109+C109)*100</f>
        <v>25.107212196274979</v>
      </c>
      <c r="E207" s="8">
        <f>SUM(K150:L151)/SUM(K148:L164)*100</f>
        <v>23.320224814804348</v>
      </c>
      <c r="F207" s="8"/>
      <c r="G207" s="8"/>
    </row>
    <row r="209" spans="2:5" x14ac:dyDescent="0.25">
      <c r="B209" s="37" t="s">
        <v>1072</v>
      </c>
      <c r="C209" s="37" t="s">
        <v>1302</v>
      </c>
      <c r="D209" s="37" t="s">
        <v>1308</v>
      </c>
      <c r="E209" s="37" t="s">
        <v>1303</v>
      </c>
    </row>
    <row r="210" spans="2:5" x14ac:dyDescent="0.25">
      <c r="B210" s="37">
        <v>1979</v>
      </c>
      <c r="C210" s="26">
        <f>SUM(H8:I9)/J22*100</f>
        <v>15.578389674285651</v>
      </c>
      <c r="D210" s="37"/>
      <c r="E210" s="8">
        <f>SUM(O132:P133)/SUM(O128:P144)*100</f>
        <v>15.619140483308886</v>
      </c>
    </row>
    <row r="211" spans="2:5" x14ac:dyDescent="0.25">
      <c r="B211" s="37">
        <v>1989</v>
      </c>
      <c r="C211" s="26">
        <f>SUM(H34:I35)/J48*100</f>
        <v>16.474332990916281</v>
      </c>
      <c r="D211" s="8">
        <f>SUM(C34:D35)/E48*100</f>
        <v>14.68945546285002</v>
      </c>
      <c r="E211" s="8">
        <f>SUM(C152:D153)/SUM(C148:D164)*100</f>
        <v>15.991680187808635</v>
      </c>
    </row>
    <row r="212" spans="2:5" x14ac:dyDescent="0.25">
      <c r="B212" s="37">
        <v>1999</v>
      </c>
      <c r="C212" s="26">
        <f>SUM(H71:I72)/J85*100</f>
        <v>17.752286829812451</v>
      </c>
      <c r="D212" s="8">
        <f>SUM(C71:D72)/E85*100</f>
        <v>15.7462690644953</v>
      </c>
      <c r="E212" s="8">
        <f>SUM(G152:H153)/SUM(G148:H164)*100</f>
        <v>17.819076923230941</v>
      </c>
    </row>
    <row r="213" spans="2:5" x14ac:dyDescent="0.25">
      <c r="B213" s="37">
        <v>2009</v>
      </c>
      <c r="C213" s="26">
        <f>SUM(H95:I96)/J109*100</f>
        <v>18.068664784758244</v>
      </c>
      <c r="D213" s="8">
        <f>SUM(C95:D96)/E109*100</f>
        <v>16.924690655079793</v>
      </c>
      <c r="E213" s="8">
        <f>SUM(K152:L153)/SUM(K148:L164)*100</f>
        <v>18.518544689874666</v>
      </c>
    </row>
    <row r="215" spans="2:5" x14ac:dyDescent="0.25">
      <c r="B215" t="s">
        <v>1072</v>
      </c>
      <c r="C215" t="s">
        <v>1304</v>
      </c>
      <c r="D215" t="s">
        <v>1309</v>
      </c>
      <c r="E215" t="s">
        <v>1305</v>
      </c>
    </row>
    <row r="216" spans="2:5" x14ac:dyDescent="0.25">
      <c r="B216">
        <v>1979</v>
      </c>
      <c r="C216" s="8">
        <f>SUM(H10:I11)/J22*100</f>
        <v>9.3718769561922759</v>
      </c>
      <c r="D216" s="8"/>
      <c r="E216" s="8">
        <f>SUM(O134:P135)/SUM(O128:P144)*100</f>
        <v>8.6790788906003087</v>
      </c>
    </row>
    <row r="217" spans="2:5" x14ac:dyDescent="0.25">
      <c r="B217">
        <v>1989</v>
      </c>
      <c r="C217" s="8">
        <f>SUM(H36:I37)/J48*100</f>
        <v>9.6919943987111132</v>
      </c>
      <c r="D217" s="8">
        <f>SUM(C36:D37)/E48*100</f>
        <v>9.0125862449467693</v>
      </c>
      <c r="E217" s="8">
        <f>SUM(C154:D155)/SUM(C148:D164)*100</f>
        <v>10.338790487871348</v>
      </c>
    </row>
    <row r="218" spans="2:5" x14ac:dyDescent="0.25">
      <c r="B218">
        <v>1999</v>
      </c>
      <c r="C218" s="8">
        <f>SUM(H73:I74)/J85*100</f>
        <v>10.823865300146412</v>
      </c>
      <c r="D218" s="8">
        <f>SUM(C73:D74)/E85*100</f>
        <v>9.7309409689367232</v>
      </c>
      <c r="E218" s="8">
        <f>SUM(G154:H155)/SUM(G148:H164)*100</f>
        <v>11.122003036050213</v>
      </c>
    </row>
    <row r="219" spans="2:5" x14ac:dyDescent="0.25">
      <c r="B219">
        <v>2009</v>
      </c>
      <c r="C219" s="8">
        <f>SUM(H97:I98)/J109*100</f>
        <v>11.727859683957801</v>
      </c>
      <c r="D219" s="8">
        <f>SUM(C97:D98)/E109*100</f>
        <v>9.6823990838389182</v>
      </c>
      <c r="E219" s="8">
        <f>SUM(K154:L155)/SUM(K148:L164)*100</f>
        <v>12.448317519648267</v>
      </c>
    </row>
    <row r="221" spans="2:5" x14ac:dyDescent="0.25">
      <c r="B221" s="37" t="s">
        <v>1072</v>
      </c>
      <c r="C221" s="37" t="s">
        <v>1327</v>
      </c>
      <c r="D221" s="37" t="s">
        <v>1329</v>
      </c>
      <c r="E221" s="37" t="s">
        <v>1328</v>
      </c>
    </row>
    <row r="222" spans="2:5" x14ac:dyDescent="0.25">
      <c r="B222" s="37">
        <v>1979</v>
      </c>
      <c r="C222">
        <f>SUM(H12:I13)/J$22*100</f>
        <v>6.3804945306367493</v>
      </c>
      <c r="E222">
        <f>SUM(O136:P137)/SUM(O128:P144)*100</f>
        <v>6.2283021048104255</v>
      </c>
    </row>
    <row r="223" spans="2:5" x14ac:dyDescent="0.25">
      <c r="B223" s="37">
        <v>1989</v>
      </c>
      <c r="C223">
        <f>SUM(H38:I39)/J48*100</f>
        <v>6.093696050427269</v>
      </c>
      <c r="D223">
        <f>SUM(C38:D39)/E48*100</f>
        <v>5.8398499983747545</v>
      </c>
      <c r="E223">
        <f>SUM(C156:D157)/SUM(C148:D164)*100</f>
        <v>5.6277512085148489</v>
      </c>
    </row>
    <row r="224" spans="2:5" x14ac:dyDescent="0.25">
      <c r="B224" s="37">
        <v>1999</v>
      </c>
      <c r="C224">
        <f>SUM(H75:I76)/J85*100</f>
        <v>6.5252004462106949</v>
      </c>
      <c r="D224">
        <f>SUM(C75:D76)/E85*100</f>
        <v>6.4470028204570111</v>
      </c>
      <c r="E224">
        <f>SUM(G156:H157)/SUM(G148:H164)*100</f>
        <v>6.8439021382339202</v>
      </c>
    </row>
    <row r="225" spans="2:6" x14ac:dyDescent="0.25">
      <c r="B225" s="37">
        <v>2009</v>
      </c>
      <c r="C225">
        <f>SUM(H99:I100)/J109*100</f>
        <v>7.1196764929132392</v>
      </c>
      <c r="D225">
        <f>SUM(C99:D100)/E109*100</f>
        <v>6.2541443041895848</v>
      </c>
      <c r="E225">
        <f>SUM(K156:L157)/SUM(K148:L164)*100</f>
        <v>7.3947238165336548</v>
      </c>
    </row>
    <row r="226" spans="2:6" x14ac:dyDescent="0.25">
      <c r="B226" s="37"/>
    </row>
    <row r="227" spans="2:6" x14ac:dyDescent="0.25">
      <c r="B227" s="37" t="s">
        <v>1072</v>
      </c>
      <c r="C227" s="37" t="s">
        <v>1330</v>
      </c>
      <c r="D227" s="37" t="s">
        <v>1331</v>
      </c>
      <c r="E227" s="37" t="s">
        <v>1332</v>
      </c>
    </row>
    <row r="228" spans="2:6" x14ac:dyDescent="0.25">
      <c r="B228" s="37">
        <v>1979</v>
      </c>
      <c r="C228" s="37">
        <f>SUM(H14:I19)/J22*100</f>
        <v>8.8436690884882676</v>
      </c>
      <c r="D228" s="37"/>
      <c r="E228" s="37">
        <f>SUM(O138:P144)/SUM(O128:P144)*100</f>
        <v>8.7303056434156332</v>
      </c>
      <c r="F228" s="37"/>
    </row>
    <row r="229" spans="2:6" x14ac:dyDescent="0.25">
      <c r="B229" s="37">
        <v>1989</v>
      </c>
      <c r="C229" s="37">
        <f>SUM(H40:I46)/J48*100</f>
        <v>8.6892726587972291</v>
      </c>
      <c r="D229" s="37">
        <f>SUM(C40:D46)/E48*100</f>
        <v>9.3887023182846985</v>
      </c>
      <c r="E229" s="37">
        <f>SUM(C158:D164)/SUM(C148:D164)*100</f>
        <v>7.7916762593924753</v>
      </c>
      <c r="F229" s="37"/>
    </row>
    <row r="230" spans="2:6" x14ac:dyDescent="0.25">
      <c r="B230" s="37">
        <v>1999</v>
      </c>
      <c r="C230" s="37">
        <f>SUM(H77:I83)/J85*100</f>
        <v>8.6681029073415594</v>
      </c>
      <c r="D230" s="37">
        <f>SUM(C77:D83)/E85*100</f>
        <v>9.1320605911029471</v>
      </c>
      <c r="E230" s="37">
        <f>SUM(G158:H164)/SUM(G148:H164)*100</f>
        <v>7.0462387449949659</v>
      </c>
      <c r="F230" s="37"/>
    </row>
    <row r="231" spans="2:6" x14ac:dyDescent="0.25">
      <c r="B231" s="37">
        <v>2009</v>
      </c>
      <c r="C231" s="37">
        <f>SUM(H101:I107)/J109*100</f>
        <v>9.3089898220146914</v>
      </c>
      <c r="D231" s="37">
        <f>SUM(C101:D107)/E109*100</f>
        <v>9.5979007520333148</v>
      </c>
      <c r="E231" s="37">
        <f>SUM(K158:L164)/SUM(K148:L164)*100</f>
        <v>7.546534336676511</v>
      </c>
      <c r="F231" s="37"/>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13"/>
  <sheetViews>
    <sheetView topLeftCell="A115" workbookViewId="0">
      <selection activeCell="I142" sqref="I142"/>
    </sheetView>
  </sheetViews>
  <sheetFormatPr defaultRowHeight="15" x14ac:dyDescent="0.25"/>
  <cols>
    <col min="9" max="9" width="10.140625" bestFit="1" customWidth="1"/>
  </cols>
  <sheetData>
    <row r="1" spans="1:30" x14ac:dyDescent="0.25">
      <c r="A1" s="2" t="s">
        <v>390</v>
      </c>
    </row>
    <row r="2" spans="1:30" ht="15" customHeight="1" x14ac:dyDescent="0.25">
      <c r="B2" t="s">
        <v>391</v>
      </c>
      <c r="N2" t="s">
        <v>158</v>
      </c>
      <c r="T2" s="21"/>
      <c r="U2" s="21"/>
      <c r="V2" s="21"/>
      <c r="W2" s="21"/>
      <c r="X2" s="21"/>
      <c r="Y2" s="21"/>
      <c r="Z2" s="21"/>
    </row>
    <row r="3" spans="1:30" ht="15" customHeight="1" x14ac:dyDescent="0.25">
      <c r="B3" t="s">
        <v>80</v>
      </c>
      <c r="C3" t="s">
        <v>222</v>
      </c>
      <c r="D3" s="37"/>
      <c r="E3" s="37"/>
      <c r="F3" t="s">
        <v>217</v>
      </c>
      <c r="G3" s="37"/>
      <c r="H3" s="37"/>
      <c r="I3" t="s">
        <v>144</v>
      </c>
      <c r="J3" t="s">
        <v>1334</v>
      </c>
      <c r="K3" t="s">
        <v>1335</v>
      </c>
      <c r="N3" s="21" t="s">
        <v>80</v>
      </c>
      <c r="O3" s="21" t="s">
        <v>222</v>
      </c>
      <c r="P3" t="s">
        <v>1246</v>
      </c>
      <c r="Q3" t="s">
        <v>1247</v>
      </c>
      <c r="R3" s="21" t="s">
        <v>217</v>
      </c>
      <c r="S3" t="s">
        <v>1246</v>
      </c>
      <c r="T3" t="s">
        <v>1247</v>
      </c>
      <c r="U3" s="21" t="s">
        <v>144</v>
      </c>
      <c r="V3" t="s">
        <v>1246</v>
      </c>
      <c r="W3" t="s">
        <v>1247</v>
      </c>
    </row>
    <row r="4" spans="1:30" x14ac:dyDescent="0.25">
      <c r="B4" t="s">
        <v>137</v>
      </c>
      <c r="C4" s="8">
        <v>3</v>
      </c>
      <c r="D4" s="8">
        <v>1.6608000000000001</v>
      </c>
      <c r="E4" s="8">
        <v>4.2827999999999999</v>
      </c>
      <c r="F4">
        <v>0.4</v>
      </c>
      <c r="G4" s="8">
        <v>0</v>
      </c>
      <c r="H4" s="8">
        <v>0.75190000000000001</v>
      </c>
      <c r="I4">
        <v>1.6</v>
      </c>
      <c r="J4" s="8">
        <v>0.95489999999999997</v>
      </c>
      <c r="K4" s="8">
        <v>2.3138000000000001</v>
      </c>
      <c r="N4" s="21" t="s">
        <v>137</v>
      </c>
      <c r="O4" s="8">
        <v>4.3395999999999999</v>
      </c>
      <c r="P4" s="8">
        <v>0.63719999999999999</v>
      </c>
      <c r="Q4" s="8">
        <v>8.0419999999999998</v>
      </c>
      <c r="R4" s="8">
        <v>0.1419</v>
      </c>
      <c r="S4" s="37">
        <v>0</v>
      </c>
      <c r="T4" s="8">
        <v>0.43490000000000001</v>
      </c>
      <c r="U4" s="8">
        <v>4.0270000000000001</v>
      </c>
      <c r="V4" s="7">
        <v>0.75009999999999999</v>
      </c>
      <c r="W4" s="7">
        <v>7.3038999999999996</v>
      </c>
    </row>
    <row r="5" spans="1:30" x14ac:dyDescent="0.25">
      <c r="B5" t="s">
        <v>138</v>
      </c>
      <c r="C5" s="8">
        <v>9</v>
      </c>
      <c r="D5" s="8">
        <v>6.4348000000000001</v>
      </c>
      <c r="E5" s="8">
        <v>11.627800000000001</v>
      </c>
      <c r="F5">
        <v>2.4</v>
      </c>
      <c r="G5" s="8">
        <v>1.2017</v>
      </c>
      <c r="H5" s="8">
        <v>3.6107</v>
      </c>
      <c r="I5">
        <v>6</v>
      </c>
      <c r="J5" s="8">
        <v>4.4225000000000003</v>
      </c>
      <c r="K5" s="8">
        <v>7.5117000000000003</v>
      </c>
      <c r="N5" s="21" t="s">
        <v>138</v>
      </c>
      <c r="O5" s="8">
        <v>29.970300000000002</v>
      </c>
      <c r="P5" s="8">
        <v>19.9102</v>
      </c>
      <c r="Q5" s="8">
        <v>40.0304</v>
      </c>
      <c r="R5" s="8">
        <v>5.6208</v>
      </c>
      <c r="S5" s="37">
        <v>0</v>
      </c>
      <c r="T5" s="8">
        <v>11.2532</v>
      </c>
      <c r="U5" s="8">
        <v>21.856100000000001</v>
      </c>
      <c r="V5" s="7">
        <v>14.6593</v>
      </c>
      <c r="W5" s="7">
        <v>29.052900000000001</v>
      </c>
      <c r="X5" s="8">
        <f>R12-S12</f>
        <v>4.460700000000001</v>
      </c>
    </row>
    <row r="6" spans="1:30" x14ac:dyDescent="0.25">
      <c r="B6" t="s">
        <v>139</v>
      </c>
      <c r="C6" s="8">
        <v>12.9</v>
      </c>
      <c r="D6" s="8">
        <v>9.6156000000000006</v>
      </c>
      <c r="E6" s="8">
        <v>16.187200000000001</v>
      </c>
      <c r="F6">
        <v>7.3</v>
      </c>
      <c r="G6" s="8">
        <v>4.3966000000000003</v>
      </c>
      <c r="H6" s="8">
        <v>10.2454</v>
      </c>
      <c r="I6">
        <v>10.4</v>
      </c>
      <c r="J6" s="8">
        <v>7.9425999999999997</v>
      </c>
      <c r="K6" s="8">
        <v>12.833500000000001</v>
      </c>
      <c r="N6" s="21" t="s">
        <v>139</v>
      </c>
      <c r="O6" s="8">
        <v>21.8535</v>
      </c>
      <c r="P6" s="8">
        <v>9.8117999999999999</v>
      </c>
      <c r="Q6" s="8">
        <v>33.895200000000003</v>
      </c>
      <c r="R6" s="8">
        <v>23.183499999999999</v>
      </c>
      <c r="S6" s="8">
        <v>10.3553</v>
      </c>
      <c r="T6" s="8">
        <v>36.011600000000001</v>
      </c>
      <c r="U6" s="8">
        <v>18.897300000000001</v>
      </c>
      <c r="V6" s="7">
        <v>12.1366</v>
      </c>
      <c r="W6" s="7">
        <v>25.658000000000001</v>
      </c>
      <c r="X6" s="8">
        <f>T12-R12</f>
        <v>4.4608000000000008</v>
      </c>
    </row>
    <row r="7" spans="1:30" x14ac:dyDescent="0.25">
      <c r="B7" t="s">
        <v>140</v>
      </c>
      <c r="C7" s="8">
        <v>11.7</v>
      </c>
      <c r="D7" s="8">
        <v>8.1616</v>
      </c>
      <c r="E7" s="8">
        <v>15.2371</v>
      </c>
      <c r="F7">
        <v>6.6</v>
      </c>
      <c r="G7" s="8">
        <v>3.8715000000000002</v>
      </c>
      <c r="H7" s="8">
        <v>9.3497000000000003</v>
      </c>
      <c r="I7">
        <v>9.4</v>
      </c>
      <c r="J7" s="8">
        <v>6.9930000000000003</v>
      </c>
      <c r="K7" s="8">
        <v>11.7536</v>
      </c>
      <c r="N7" s="21" t="s">
        <v>140</v>
      </c>
      <c r="O7" s="8">
        <v>16.320799999999998</v>
      </c>
      <c r="P7" s="8">
        <v>4.9405000000000001</v>
      </c>
      <c r="Q7" s="8">
        <v>27.701000000000001</v>
      </c>
      <c r="R7" s="8">
        <v>17.728400000000001</v>
      </c>
      <c r="S7" s="8">
        <v>1.7278</v>
      </c>
      <c r="T7" s="8">
        <v>33.729100000000003</v>
      </c>
      <c r="U7" s="8">
        <v>11.5449</v>
      </c>
      <c r="V7" s="7">
        <v>6.8776999999999999</v>
      </c>
      <c r="W7" s="7">
        <v>16.2121</v>
      </c>
    </row>
    <row r="8" spans="1:30" x14ac:dyDescent="0.25">
      <c r="B8" t="s">
        <v>141</v>
      </c>
      <c r="C8" s="8">
        <v>11.8</v>
      </c>
      <c r="D8" s="8">
        <v>8.0726999999999993</v>
      </c>
      <c r="E8" s="8">
        <v>15.4283</v>
      </c>
      <c r="F8">
        <v>8.4</v>
      </c>
      <c r="G8" s="8">
        <v>4.9302000000000001</v>
      </c>
      <c r="H8" s="8">
        <v>11.888199999999999</v>
      </c>
      <c r="I8">
        <v>10.1</v>
      </c>
      <c r="J8" s="8">
        <v>7.3860000000000001</v>
      </c>
      <c r="K8" s="8">
        <v>12.894</v>
      </c>
      <c r="N8" s="21" t="s">
        <v>141</v>
      </c>
      <c r="O8" s="8">
        <v>17.982800000000001</v>
      </c>
      <c r="P8" s="8">
        <v>6.2957000000000001</v>
      </c>
      <c r="Q8" s="8">
        <v>29.67</v>
      </c>
      <c r="R8" s="8">
        <v>19.689599999999999</v>
      </c>
      <c r="S8" s="8">
        <v>2.7372000000000001</v>
      </c>
      <c r="T8" s="8">
        <v>36.642099999999999</v>
      </c>
      <c r="U8" s="8">
        <v>13.7293</v>
      </c>
      <c r="V8" s="7">
        <v>6.1853999999999996</v>
      </c>
      <c r="W8" s="7">
        <v>21.273299999999999</v>
      </c>
    </row>
    <row r="9" spans="1:30" x14ac:dyDescent="0.25">
      <c r="B9" t="s">
        <v>142</v>
      </c>
      <c r="C9" s="8">
        <v>9.5</v>
      </c>
      <c r="D9" s="8">
        <v>5.1764999999999999</v>
      </c>
      <c r="E9" s="8">
        <v>13.7669</v>
      </c>
      <c r="F9">
        <v>8.8000000000000007</v>
      </c>
      <c r="G9" s="8">
        <v>4.7293000000000003</v>
      </c>
      <c r="H9" s="8">
        <v>12.793799999999999</v>
      </c>
      <c r="I9">
        <v>9.1</v>
      </c>
      <c r="J9" s="8">
        <v>6.0197000000000003</v>
      </c>
      <c r="K9" s="8">
        <v>12.234400000000001</v>
      </c>
      <c r="N9" s="21" t="s">
        <v>142</v>
      </c>
      <c r="O9" s="8">
        <v>33.171199999999999</v>
      </c>
      <c r="P9" s="8">
        <v>15.0959</v>
      </c>
      <c r="Q9" s="8">
        <v>51.246499999999997</v>
      </c>
      <c r="R9" s="8">
        <v>24.622299999999999</v>
      </c>
      <c r="S9" s="8">
        <v>7.0796999999999999</v>
      </c>
      <c r="T9" s="8">
        <v>42.164999999999999</v>
      </c>
      <c r="U9" s="8">
        <v>17.517399999999999</v>
      </c>
      <c r="V9" s="7">
        <v>9.5665999999999993</v>
      </c>
      <c r="W9" s="7">
        <v>25.4681</v>
      </c>
    </row>
    <row r="10" spans="1:30" x14ac:dyDescent="0.25">
      <c r="B10" t="s">
        <v>143</v>
      </c>
      <c r="C10" s="8">
        <v>3.9</v>
      </c>
      <c r="D10" s="8">
        <v>0.91690000000000005</v>
      </c>
      <c r="E10" s="8">
        <v>6.8102999999999998</v>
      </c>
      <c r="F10">
        <v>5.2</v>
      </c>
      <c r="G10" s="8">
        <v>1.1970000000000001</v>
      </c>
      <c r="H10" s="8">
        <v>9.1257000000000001</v>
      </c>
      <c r="I10">
        <v>4.4000000000000004</v>
      </c>
      <c r="J10" s="8">
        <v>2.1457999999999999</v>
      </c>
      <c r="K10" s="8">
        <v>6.7401999999999997</v>
      </c>
      <c r="N10" s="21" t="s">
        <v>143</v>
      </c>
      <c r="O10" s="8">
        <v>15.8049</v>
      </c>
      <c r="P10" s="8">
        <v>0</v>
      </c>
      <c r="Q10" s="8">
        <v>33.246600000000001</v>
      </c>
      <c r="R10" s="8">
        <v>18.665800000000001</v>
      </c>
      <c r="S10" s="8">
        <v>3.1282999999999999</v>
      </c>
      <c r="T10" s="8">
        <v>34.203200000000002</v>
      </c>
      <c r="U10" s="8">
        <v>7.2714999999999996</v>
      </c>
      <c r="V10" s="7">
        <v>2.6181000000000001</v>
      </c>
      <c r="W10" s="7">
        <v>11.924899999999999</v>
      </c>
    </row>
    <row r="11" spans="1:30" x14ac:dyDescent="0.25">
      <c r="B11" t="s">
        <v>392</v>
      </c>
      <c r="C11" s="8"/>
      <c r="D11" s="8"/>
      <c r="E11" s="8"/>
      <c r="F11">
        <v>5.7</v>
      </c>
      <c r="G11" s="8">
        <v>2.0832999999999999</v>
      </c>
      <c r="H11" s="8">
        <v>9.2460000000000004</v>
      </c>
      <c r="N11" s="21" t="s">
        <v>392</v>
      </c>
      <c r="O11" t="s">
        <v>1248</v>
      </c>
      <c r="P11" t="s">
        <v>1248</v>
      </c>
      <c r="Q11" t="s">
        <v>1248</v>
      </c>
      <c r="R11" s="8">
        <v>20.7746</v>
      </c>
      <c r="S11" s="8">
        <v>4.2534999999999998</v>
      </c>
      <c r="T11" s="8">
        <v>37.295699999999997</v>
      </c>
      <c r="U11" s="8">
        <v>5.1565000000000003</v>
      </c>
      <c r="V11" s="7">
        <v>0.3695</v>
      </c>
      <c r="W11" s="7">
        <v>9.9436</v>
      </c>
    </row>
    <row r="12" spans="1:30" x14ac:dyDescent="0.25">
      <c r="B12" t="s">
        <v>144</v>
      </c>
      <c r="C12" s="8">
        <v>8.6816999999999993</v>
      </c>
      <c r="D12" s="8">
        <v>7.4393000000000002</v>
      </c>
      <c r="E12" s="8">
        <v>9.9242000000000008</v>
      </c>
      <c r="F12" s="8">
        <v>4.6345999999999998</v>
      </c>
      <c r="G12" s="8">
        <v>3.7299000000000002</v>
      </c>
      <c r="H12" s="8">
        <v>5.5392000000000001</v>
      </c>
      <c r="I12">
        <v>6.7</v>
      </c>
      <c r="J12" s="7">
        <v>5.7725999999999997</v>
      </c>
      <c r="K12" s="7">
        <v>7.6139000000000001</v>
      </c>
      <c r="N12" t="s">
        <v>144</v>
      </c>
      <c r="O12" s="8">
        <v>18.2517</v>
      </c>
      <c r="P12" s="8">
        <v>13.379</v>
      </c>
      <c r="Q12" s="8">
        <v>23.124400000000001</v>
      </c>
      <c r="R12" s="8">
        <v>12.285500000000001</v>
      </c>
      <c r="S12" s="8">
        <v>7.8247999999999998</v>
      </c>
      <c r="T12" s="8">
        <v>16.746300000000002</v>
      </c>
      <c r="U12" s="8">
        <v>15.355399999999999</v>
      </c>
      <c r="V12" s="7">
        <v>11.407500000000001</v>
      </c>
      <c r="W12" s="7">
        <v>19.3032</v>
      </c>
      <c r="X12" s="21"/>
    </row>
    <row r="13" spans="1:30" x14ac:dyDescent="0.25">
      <c r="D13" s="8">
        <f>C12-D12</f>
        <v>1.2423999999999991</v>
      </c>
      <c r="E13" s="8">
        <f>E12-C12</f>
        <v>1.2425000000000015</v>
      </c>
      <c r="G13" s="37"/>
      <c r="H13" s="37"/>
      <c r="I13">
        <v>15.1</v>
      </c>
      <c r="O13" t="s">
        <v>531</v>
      </c>
      <c r="W13" s="21"/>
      <c r="X13" s="21"/>
      <c r="Y13" s="21"/>
      <c r="Z13" s="21"/>
      <c r="AA13" s="21"/>
      <c r="AB13" s="21"/>
      <c r="AC13" s="21"/>
      <c r="AD13" s="21"/>
    </row>
    <row r="14" spans="1:30" x14ac:dyDescent="0.25">
      <c r="S14" s="21"/>
      <c r="T14" s="21"/>
      <c r="U14" s="21"/>
      <c r="V14" s="21"/>
      <c r="W14" s="21"/>
      <c r="X14" s="21"/>
      <c r="Y14" s="21"/>
      <c r="Z14" s="21"/>
    </row>
    <row r="15" spans="1:30" s="21" customFormat="1" x14ac:dyDescent="0.25">
      <c r="A15" s="2" t="s">
        <v>534</v>
      </c>
    </row>
    <row r="16" spans="1:30" s="21" customFormat="1" x14ac:dyDescent="0.25">
      <c r="B16" s="21" t="s">
        <v>28</v>
      </c>
      <c r="C16" s="21" t="s">
        <v>393</v>
      </c>
    </row>
    <row r="17" spans="1:26" s="21" customFormat="1" x14ac:dyDescent="0.25">
      <c r="B17" s="14" t="s">
        <v>246</v>
      </c>
      <c r="C17" s="21" t="s">
        <v>222</v>
      </c>
      <c r="D17" s="21" t="s">
        <v>223</v>
      </c>
      <c r="E17" s="21" t="s">
        <v>144</v>
      </c>
    </row>
    <row r="18" spans="1:26" s="21" customFormat="1" x14ac:dyDescent="0.25">
      <c r="B18" s="21" t="s">
        <v>137</v>
      </c>
      <c r="C18" s="19">
        <v>3.5000000000000003E-2</v>
      </c>
      <c r="D18" s="19">
        <v>0.01</v>
      </c>
      <c r="E18" s="19">
        <v>2.3E-2</v>
      </c>
    </row>
    <row r="19" spans="1:26" s="21" customFormat="1" x14ac:dyDescent="0.25">
      <c r="B19" s="21" t="s">
        <v>138</v>
      </c>
      <c r="C19" s="19">
        <v>7.400000000000001E-2</v>
      </c>
      <c r="D19" s="19">
        <v>1.9E-2</v>
      </c>
      <c r="E19" s="19">
        <v>5.2000000000000005E-2</v>
      </c>
    </row>
    <row r="20" spans="1:26" s="21" customFormat="1" x14ac:dyDescent="0.25">
      <c r="B20" s="21" t="s">
        <v>139</v>
      </c>
      <c r="C20" s="19">
        <v>0.10199999999999999</v>
      </c>
      <c r="D20" s="19">
        <v>7.2999999999999995E-2</v>
      </c>
      <c r="E20" s="19">
        <v>9.0999999999999998E-2</v>
      </c>
    </row>
    <row r="21" spans="1:26" s="21" customFormat="1" x14ac:dyDescent="0.25">
      <c r="B21" s="21" t="s">
        <v>140</v>
      </c>
      <c r="C21" s="19">
        <v>0.13300000000000001</v>
      </c>
      <c r="D21" s="19">
        <v>8.900000000000001E-2</v>
      </c>
      <c r="E21" s="19">
        <v>0.11599999999999999</v>
      </c>
    </row>
    <row r="22" spans="1:26" s="21" customFormat="1" x14ac:dyDescent="0.25">
      <c r="B22" s="21" t="s">
        <v>141</v>
      </c>
      <c r="C22" s="19">
        <v>0.11199999999999999</v>
      </c>
      <c r="D22" s="19">
        <v>9.3000000000000013E-2</v>
      </c>
      <c r="E22" s="19">
        <v>0.105</v>
      </c>
    </row>
    <row r="23" spans="1:26" s="21" customFormat="1" x14ac:dyDescent="0.25">
      <c r="B23" s="21" t="s">
        <v>142</v>
      </c>
      <c r="C23" s="19">
        <v>9.4E-2</v>
      </c>
      <c r="D23" s="19">
        <v>0.10199999999999999</v>
      </c>
      <c r="E23" s="19">
        <v>9.6999999999999989E-2</v>
      </c>
    </row>
    <row r="24" spans="1:26" s="21" customFormat="1" x14ac:dyDescent="0.25">
      <c r="B24" s="21" t="s">
        <v>143</v>
      </c>
      <c r="C24" s="19">
        <v>8.8000000000000009E-2</v>
      </c>
      <c r="D24" s="19">
        <v>5.5999999999999994E-2</v>
      </c>
      <c r="E24" s="19">
        <v>7.4999999999999997E-2</v>
      </c>
    </row>
    <row r="25" spans="1:26" s="21" customFormat="1" x14ac:dyDescent="0.25">
      <c r="B25" s="21" t="s">
        <v>392</v>
      </c>
      <c r="C25" s="19">
        <v>7.4999999999999997E-2</v>
      </c>
      <c r="D25" s="19">
        <v>8.3000000000000004E-2</v>
      </c>
      <c r="E25" s="19">
        <v>7.8E-2</v>
      </c>
    </row>
    <row r="26" spans="1:26" s="21" customFormat="1" x14ac:dyDescent="0.25">
      <c r="B26" s="21" t="s">
        <v>535</v>
      </c>
      <c r="C26" s="19">
        <v>4.7E-2</v>
      </c>
      <c r="D26" s="19">
        <v>2.3E-2</v>
      </c>
      <c r="E26" s="19">
        <v>3.6000000000000004E-2</v>
      </c>
    </row>
    <row r="27" spans="1:26" s="21" customFormat="1" x14ac:dyDescent="0.25">
      <c r="B27" s="21" t="s">
        <v>536</v>
      </c>
      <c r="C27" s="19">
        <v>1.7000000000000001E-2</v>
      </c>
      <c r="D27" s="19">
        <v>3.4000000000000002E-2</v>
      </c>
      <c r="E27" s="19">
        <v>2.7000000000000003E-2</v>
      </c>
    </row>
    <row r="28" spans="1:26" s="21" customFormat="1" x14ac:dyDescent="0.25">
      <c r="B28" s="21" t="s">
        <v>144</v>
      </c>
      <c r="C28" s="19">
        <v>8.4000000000000005E-2</v>
      </c>
      <c r="D28" s="19">
        <v>5.3999999999999999E-2</v>
      </c>
      <c r="E28" s="19">
        <v>7.0999999999999994E-2</v>
      </c>
      <c r="F28" s="19">
        <v>6.6000000000000003E-2</v>
      </c>
      <c r="G28" s="19">
        <v>7.9000000000000001E-2</v>
      </c>
    </row>
    <row r="29" spans="1:26" s="21" customFormat="1" x14ac:dyDescent="0.25">
      <c r="B29" s="21" t="s">
        <v>158</v>
      </c>
      <c r="C29" s="19">
        <v>0.18</v>
      </c>
      <c r="D29" s="19">
        <v>0.11</v>
      </c>
      <c r="E29" s="19">
        <v>0.14899999999999999</v>
      </c>
      <c r="F29" s="18">
        <f>0.072-F28</f>
        <v>5.9999999999999915E-3</v>
      </c>
      <c r="G29" s="18">
        <f>G28-0.072</f>
        <v>7.0000000000000062E-3</v>
      </c>
    </row>
    <row r="30" spans="1:26" s="21" customFormat="1" x14ac:dyDescent="0.25">
      <c r="C30" s="19"/>
      <c r="D30" s="19"/>
      <c r="E30" s="19"/>
    </row>
    <row r="31" spans="1:26" ht="16.5" customHeight="1" x14ac:dyDescent="0.25">
      <c r="A31" s="53" t="s">
        <v>1086</v>
      </c>
      <c r="B31" s="54"/>
      <c r="C31" s="54"/>
      <c r="D31" s="54"/>
      <c r="E31" s="54"/>
      <c r="S31" s="21"/>
      <c r="T31" s="21"/>
      <c r="U31" s="21"/>
      <c r="V31" s="21"/>
      <c r="W31" s="21"/>
      <c r="X31" s="21"/>
      <c r="Y31" s="21"/>
      <c r="Z31" s="21"/>
    </row>
    <row r="32" spans="1:26" ht="16.5" customHeight="1" x14ac:dyDescent="0.25">
      <c r="A32" s="54"/>
      <c r="B32" s="54" t="s">
        <v>179</v>
      </c>
      <c r="C32" s="54" t="s">
        <v>393</v>
      </c>
      <c r="D32" s="54"/>
      <c r="E32" s="54"/>
      <c r="F32" t="s">
        <v>153</v>
      </c>
      <c r="S32" s="21"/>
      <c r="T32" s="21"/>
      <c r="U32" s="21"/>
      <c r="V32" s="21"/>
      <c r="W32" s="21"/>
      <c r="X32" s="21"/>
      <c r="Y32" s="21"/>
      <c r="Z32" s="21"/>
    </row>
    <row r="33" spans="1:26" x14ac:dyDescent="0.25">
      <c r="A33" s="54"/>
      <c r="B33" s="54" t="s">
        <v>246</v>
      </c>
      <c r="C33" s="54" t="s">
        <v>222</v>
      </c>
      <c r="D33" s="54" t="s">
        <v>223</v>
      </c>
      <c r="E33" s="54"/>
      <c r="F33" s="54" t="s">
        <v>246</v>
      </c>
      <c r="G33" s="54" t="s">
        <v>645</v>
      </c>
      <c r="H33" s="54" t="s">
        <v>575</v>
      </c>
      <c r="I33" s="54" t="s">
        <v>576</v>
      </c>
      <c r="J33" s="54" t="s">
        <v>222</v>
      </c>
      <c r="K33" s="54" t="s">
        <v>575</v>
      </c>
      <c r="L33" s="54" t="s">
        <v>576</v>
      </c>
      <c r="M33" s="54" t="s">
        <v>223</v>
      </c>
      <c r="N33" s="54" t="s">
        <v>575</v>
      </c>
      <c r="O33" s="54" t="s">
        <v>576</v>
      </c>
      <c r="T33" s="21"/>
      <c r="U33" s="21"/>
      <c r="V33" s="21"/>
      <c r="W33" s="21"/>
      <c r="X33" s="21"/>
      <c r="Y33" s="21"/>
      <c r="Z33" s="21"/>
    </row>
    <row r="34" spans="1:26" x14ac:dyDescent="0.25">
      <c r="A34" s="54"/>
      <c r="B34" s="54" t="s">
        <v>137</v>
      </c>
      <c r="C34" s="55">
        <v>0.05</v>
      </c>
      <c r="D34" s="55">
        <v>0.02</v>
      </c>
      <c r="E34" s="54"/>
      <c r="F34" t="s">
        <v>1336</v>
      </c>
      <c r="G34" s="37">
        <v>1</v>
      </c>
      <c r="H34" s="40">
        <v>0.5</v>
      </c>
      <c r="I34" s="40">
        <v>1.6</v>
      </c>
      <c r="J34" s="40">
        <v>1.1000000000000001</v>
      </c>
      <c r="M34">
        <v>0.9</v>
      </c>
      <c r="T34" s="21"/>
      <c r="U34" s="21"/>
      <c r="V34" s="21"/>
      <c r="W34" s="21"/>
      <c r="X34" s="21"/>
      <c r="Y34" s="21"/>
      <c r="Z34" s="21"/>
    </row>
    <row r="35" spans="1:26" x14ac:dyDescent="0.25">
      <c r="A35" s="54"/>
      <c r="B35" s="54" t="s">
        <v>394</v>
      </c>
      <c r="C35" s="55">
        <v>0.1414</v>
      </c>
      <c r="D35" s="55">
        <v>2.93E-2</v>
      </c>
      <c r="E35" s="54"/>
      <c r="F35" t="s">
        <v>1337</v>
      </c>
      <c r="G35" s="37">
        <v>3.1</v>
      </c>
      <c r="H35" s="40">
        <v>2.2000000000000002</v>
      </c>
      <c r="I35" s="40">
        <v>4</v>
      </c>
      <c r="J35" s="40">
        <v>4.5999999999999996</v>
      </c>
      <c r="M35">
        <v>1.3</v>
      </c>
      <c r="T35" s="21"/>
      <c r="U35" s="21"/>
      <c r="V35" s="21"/>
      <c r="W35" s="21"/>
      <c r="X35" s="21"/>
      <c r="Y35" s="21"/>
      <c r="Z35" s="21"/>
    </row>
    <row r="36" spans="1:26" x14ac:dyDescent="0.25">
      <c r="A36" s="54"/>
      <c r="B36" s="54" t="s">
        <v>139</v>
      </c>
      <c r="C36" s="55">
        <v>0.25</v>
      </c>
      <c r="D36" s="55">
        <v>0.21</v>
      </c>
      <c r="E36" s="54"/>
      <c r="F36" t="s">
        <v>1338</v>
      </c>
      <c r="G36" s="37">
        <v>6.3</v>
      </c>
      <c r="H36" s="40">
        <v>4.8</v>
      </c>
      <c r="I36" s="40">
        <v>7.7</v>
      </c>
      <c r="J36" s="40">
        <v>7.9</v>
      </c>
      <c r="M36">
        <v>4.3</v>
      </c>
      <c r="T36" s="21"/>
      <c r="U36" s="21"/>
      <c r="V36" s="21"/>
      <c r="W36" s="21"/>
      <c r="X36" s="21"/>
      <c r="Y36" s="21"/>
      <c r="Z36" s="21"/>
    </row>
    <row r="37" spans="1:26" x14ac:dyDescent="0.25">
      <c r="A37" s="54"/>
      <c r="B37" s="54" t="s">
        <v>140</v>
      </c>
      <c r="C37" s="55">
        <v>0.21</v>
      </c>
      <c r="D37" s="55">
        <v>0.24</v>
      </c>
      <c r="E37" s="54"/>
      <c r="F37" t="s">
        <v>1339</v>
      </c>
      <c r="G37" s="37">
        <v>6.6</v>
      </c>
      <c r="H37" s="40">
        <v>5.2</v>
      </c>
      <c r="I37" s="40">
        <v>8</v>
      </c>
      <c r="J37" s="40">
        <v>6.6</v>
      </c>
      <c r="M37">
        <v>6.6</v>
      </c>
      <c r="T37" s="21"/>
      <c r="U37" s="21"/>
      <c r="V37" s="21"/>
      <c r="W37" s="21"/>
      <c r="X37" s="21"/>
      <c r="Y37" s="21"/>
      <c r="Z37" s="21"/>
    </row>
    <row r="38" spans="1:26" x14ac:dyDescent="0.25">
      <c r="A38" s="54"/>
      <c r="B38" s="54" t="s">
        <v>141</v>
      </c>
      <c r="C38" s="55">
        <v>0.28000000000000003</v>
      </c>
      <c r="D38" s="55">
        <v>0.2</v>
      </c>
      <c r="E38" s="54"/>
      <c r="F38" t="s">
        <v>1340</v>
      </c>
      <c r="G38" s="37">
        <v>8.6999999999999993</v>
      </c>
      <c r="H38" s="40">
        <v>6.7</v>
      </c>
      <c r="I38" s="40">
        <v>10.7</v>
      </c>
      <c r="J38" s="40">
        <v>12.3</v>
      </c>
      <c r="M38">
        <v>5</v>
      </c>
      <c r="T38" s="21"/>
      <c r="U38" s="21"/>
      <c r="V38" s="21"/>
      <c r="W38" s="21"/>
      <c r="X38" s="21"/>
      <c r="Y38" s="21"/>
      <c r="Z38" s="21"/>
    </row>
    <row r="39" spans="1:26" x14ac:dyDescent="0.25">
      <c r="A39" s="54"/>
      <c r="B39" s="54" t="s">
        <v>142</v>
      </c>
      <c r="C39" s="55">
        <v>0.17</v>
      </c>
      <c r="D39" s="55">
        <v>0.31</v>
      </c>
      <c r="E39" s="54"/>
      <c r="F39" t="s">
        <v>1341</v>
      </c>
      <c r="G39" s="37">
        <v>9.3000000000000007</v>
      </c>
      <c r="H39" s="40">
        <v>7.1</v>
      </c>
      <c r="I39" s="40">
        <v>11.6</v>
      </c>
      <c r="J39" s="40">
        <v>10.6</v>
      </c>
      <c r="M39">
        <v>8.1</v>
      </c>
      <c r="T39" s="21"/>
      <c r="U39" s="21"/>
      <c r="V39" s="21"/>
      <c r="W39" s="21"/>
      <c r="X39" s="21"/>
      <c r="Y39" s="21"/>
      <c r="Z39" s="21"/>
    </row>
    <row r="40" spans="1:26" s="21" customFormat="1" x14ac:dyDescent="0.25">
      <c r="A40" s="54"/>
      <c r="B40" s="54" t="s">
        <v>143</v>
      </c>
      <c r="C40" s="55">
        <v>0.23</v>
      </c>
      <c r="D40" s="55">
        <v>0.16</v>
      </c>
      <c r="E40" s="54"/>
      <c r="F40" s="21" t="s">
        <v>1342</v>
      </c>
      <c r="G40" s="37">
        <v>9.8000000000000007</v>
      </c>
      <c r="H40" s="40">
        <v>7.1</v>
      </c>
      <c r="I40" s="40">
        <v>12.5</v>
      </c>
      <c r="J40" s="40">
        <v>10.7</v>
      </c>
      <c r="M40" s="21">
        <v>8.9</v>
      </c>
    </row>
    <row r="41" spans="1:26" s="21" customFormat="1" x14ac:dyDescent="0.25">
      <c r="A41" s="54"/>
      <c r="B41" s="54" t="s">
        <v>392</v>
      </c>
      <c r="C41" s="55">
        <v>0.12</v>
      </c>
      <c r="D41" s="55">
        <v>0.21</v>
      </c>
      <c r="E41" s="54"/>
      <c r="F41" s="21" t="s">
        <v>1343</v>
      </c>
      <c r="G41" s="37">
        <v>8.4</v>
      </c>
      <c r="H41" s="40">
        <v>6.3</v>
      </c>
      <c r="I41" s="40">
        <v>10.5</v>
      </c>
      <c r="J41" s="40">
        <v>10</v>
      </c>
      <c r="M41" s="21">
        <v>7</v>
      </c>
    </row>
    <row r="42" spans="1:26" s="21" customFormat="1" x14ac:dyDescent="0.25">
      <c r="A42" s="54"/>
      <c r="B42" s="54" t="s">
        <v>535</v>
      </c>
      <c r="C42" s="55">
        <v>0.06</v>
      </c>
      <c r="D42" s="55">
        <v>0.12</v>
      </c>
      <c r="E42" s="54"/>
      <c r="F42" s="21" t="s">
        <v>1344</v>
      </c>
      <c r="G42" s="37">
        <v>4.4000000000000004</v>
      </c>
      <c r="H42" s="40">
        <v>2.4</v>
      </c>
      <c r="I42" s="40">
        <v>6.4</v>
      </c>
      <c r="J42" s="40">
        <v>5</v>
      </c>
      <c r="M42" s="21">
        <v>4</v>
      </c>
    </row>
    <row r="43" spans="1:26" s="21" customFormat="1" x14ac:dyDescent="0.25">
      <c r="A43" s="54"/>
      <c r="B43" s="54" t="s">
        <v>536</v>
      </c>
      <c r="C43" s="55">
        <v>0.04</v>
      </c>
      <c r="D43" s="55">
        <v>0.12</v>
      </c>
      <c r="E43" s="54"/>
      <c r="F43" s="21" t="s">
        <v>1345</v>
      </c>
      <c r="G43" s="37">
        <v>4</v>
      </c>
      <c r="H43" s="40">
        <v>2</v>
      </c>
      <c r="I43" s="40">
        <v>6.1</v>
      </c>
      <c r="J43" s="40">
        <v>3</v>
      </c>
      <c r="M43" s="21">
        <v>5</v>
      </c>
    </row>
    <row r="44" spans="1:26" x14ac:dyDescent="0.25">
      <c r="A44" s="54"/>
      <c r="B44" s="54" t="s">
        <v>395</v>
      </c>
      <c r="C44" s="55">
        <v>1E-3</v>
      </c>
      <c r="D44" s="55">
        <v>5.11E-2</v>
      </c>
      <c r="E44" s="54"/>
      <c r="F44" t="s">
        <v>144</v>
      </c>
      <c r="G44">
        <v>5.6</v>
      </c>
      <c r="H44" s="40">
        <v>4.9000000000000004</v>
      </c>
      <c r="I44" s="40">
        <v>6.3</v>
      </c>
      <c r="J44" s="40">
        <v>6.9</v>
      </c>
      <c r="K44" s="40">
        <v>6</v>
      </c>
      <c r="L44" s="40">
        <v>7.7</v>
      </c>
      <c r="M44" s="40">
        <v>4.4000000000000004</v>
      </c>
      <c r="N44" s="40">
        <v>3.6</v>
      </c>
      <c r="O44" s="40">
        <v>5.2</v>
      </c>
      <c r="T44" s="21"/>
      <c r="U44" s="21"/>
      <c r="V44" s="21"/>
      <c r="W44" s="21"/>
      <c r="X44" s="21"/>
      <c r="Y44" s="21"/>
      <c r="Z44" s="21"/>
    </row>
    <row r="45" spans="1:26" x14ac:dyDescent="0.25">
      <c r="A45" s="54"/>
      <c r="B45" s="54" t="s">
        <v>396</v>
      </c>
      <c r="C45" s="55">
        <v>0</v>
      </c>
      <c r="D45" s="55">
        <v>1.6500000000000001E-2</v>
      </c>
      <c r="E45" s="54"/>
      <c r="H45">
        <f>G44-H44</f>
        <v>0.69999999999999929</v>
      </c>
      <c r="I45">
        <f>I44-G44</f>
        <v>0.70000000000000018</v>
      </c>
      <c r="T45" s="21"/>
      <c r="U45" s="21"/>
      <c r="V45" s="21"/>
      <c r="W45" s="21"/>
      <c r="X45" s="21"/>
      <c r="Y45" s="21"/>
      <c r="Z45" s="21"/>
    </row>
    <row r="46" spans="1:26" x14ac:dyDescent="0.25">
      <c r="A46" s="54"/>
      <c r="B46" s="54" t="s">
        <v>397</v>
      </c>
      <c r="C46" s="55">
        <v>0</v>
      </c>
      <c r="D46" s="55">
        <v>0</v>
      </c>
      <c r="E46" s="54"/>
      <c r="T46" s="21"/>
      <c r="U46" s="21"/>
      <c r="V46" s="21"/>
      <c r="W46" s="21"/>
      <c r="X46" s="21"/>
      <c r="Y46" s="21"/>
      <c r="Z46" s="21"/>
    </row>
    <row r="47" spans="1:26" x14ac:dyDescent="0.25">
      <c r="A47" s="54"/>
      <c r="B47" s="54" t="s">
        <v>144</v>
      </c>
      <c r="C47" s="56">
        <v>0.16</v>
      </c>
      <c r="D47" s="56">
        <v>0.14000000000000001</v>
      </c>
      <c r="E47" s="56">
        <v>0.15</v>
      </c>
      <c r="T47" s="21"/>
      <c r="U47" s="21"/>
      <c r="V47" s="21"/>
      <c r="W47" s="21"/>
      <c r="X47" s="21"/>
      <c r="Y47" s="21"/>
      <c r="Z47" s="21"/>
    </row>
    <row r="48" spans="1:26" x14ac:dyDescent="0.25">
      <c r="A48" s="2" t="s">
        <v>470</v>
      </c>
      <c r="T48" s="21"/>
      <c r="U48" s="21"/>
      <c r="V48" s="21"/>
      <c r="W48" s="21"/>
      <c r="X48" s="21"/>
      <c r="Y48" s="21"/>
      <c r="Z48" s="21"/>
    </row>
    <row r="49" spans="1:26" x14ac:dyDescent="0.25">
      <c r="B49" t="s">
        <v>482</v>
      </c>
      <c r="T49" s="21"/>
      <c r="U49" s="21"/>
      <c r="V49" s="21"/>
      <c r="W49" s="21"/>
      <c r="X49" s="21"/>
      <c r="Y49" s="21"/>
      <c r="Z49" s="21"/>
    </row>
    <row r="50" spans="1:26" x14ac:dyDescent="0.25">
      <c r="C50" t="s">
        <v>487</v>
      </c>
      <c r="T50" s="21"/>
      <c r="U50" s="21"/>
      <c r="V50" s="21"/>
      <c r="W50" s="21"/>
      <c r="X50" s="21"/>
      <c r="Y50" s="21"/>
      <c r="Z50" s="21"/>
    </row>
    <row r="51" spans="1:26" x14ac:dyDescent="0.25">
      <c r="B51" t="s">
        <v>483</v>
      </c>
      <c r="C51" t="s">
        <v>488</v>
      </c>
      <c r="D51" t="s">
        <v>489</v>
      </c>
      <c r="E51" t="s">
        <v>484</v>
      </c>
      <c r="F51" t="s">
        <v>485</v>
      </c>
      <c r="G51" t="s">
        <v>486</v>
      </c>
      <c r="H51" s="21"/>
      <c r="I51" s="21"/>
      <c r="J51" s="4"/>
      <c r="K51" s="12"/>
      <c r="L51" s="4"/>
      <c r="T51" s="21"/>
      <c r="U51" s="21"/>
      <c r="V51" s="21"/>
      <c r="W51" s="21"/>
      <c r="X51" s="21"/>
      <c r="Y51" s="21"/>
      <c r="Z51" s="21"/>
    </row>
    <row r="52" spans="1:26" x14ac:dyDescent="0.25">
      <c r="B52" t="s">
        <v>473</v>
      </c>
      <c r="E52">
        <v>24.8</v>
      </c>
      <c r="F52" s="12">
        <v>1.6799999999999999E-2</v>
      </c>
      <c r="G52" s="25">
        <v>1.8218907691418283E-2</v>
      </c>
      <c r="H52" s="4"/>
    </row>
    <row r="53" spans="1:26" x14ac:dyDescent="0.25">
      <c r="B53" t="s">
        <v>480</v>
      </c>
      <c r="E53" s="26">
        <v>4.7</v>
      </c>
      <c r="F53" s="24">
        <v>2.7000000000000001E-3</v>
      </c>
      <c r="G53" s="25">
        <v>1.8231484607593381E-2</v>
      </c>
      <c r="H53" s="4"/>
    </row>
    <row r="54" spans="1:26" x14ac:dyDescent="0.25">
      <c r="B54" t="s">
        <v>474</v>
      </c>
      <c r="E54">
        <v>14.3</v>
      </c>
      <c r="F54">
        <v>1</v>
      </c>
      <c r="G54" s="25">
        <v>1.8219280719280719E-2</v>
      </c>
      <c r="H54" s="4"/>
      <c r="I54" s="27"/>
    </row>
    <row r="55" spans="1:26" x14ac:dyDescent="0.25">
      <c r="B55" t="s">
        <v>472</v>
      </c>
      <c r="E55">
        <v>19.899999999999999</v>
      </c>
      <c r="F55">
        <v>1.62</v>
      </c>
      <c r="G55" s="25">
        <v>1.8217202885234516E-2</v>
      </c>
      <c r="H55" s="4"/>
      <c r="I55" s="27"/>
    </row>
    <row r="56" spans="1:26" ht="15" customHeight="1" x14ac:dyDescent="0.25">
      <c r="B56" t="s">
        <v>471</v>
      </c>
      <c r="E56">
        <v>26</v>
      </c>
      <c r="F56">
        <v>2</v>
      </c>
      <c r="G56" s="25">
        <v>1.8221324034448143E-2</v>
      </c>
      <c r="H56" s="4"/>
      <c r="I56" s="28"/>
    </row>
    <row r="57" spans="1:26" ht="15" customHeight="1" x14ac:dyDescent="0.25">
      <c r="B57" t="s">
        <v>481</v>
      </c>
      <c r="E57">
        <v>6.4</v>
      </c>
      <c r="F57">
        <v>0.38</v>
      </c>
      <c r="G57" s="25">
        <v>1.8216888126875268E-2</v>
      </c>
      <c r="H57" s="4"/>
    </row>
    <row r="59" spans="1:26" x14ac:dyDescent="0.25">
      <c r="A59" s="2" t="s">
        <v>528</v>
      </c>
    </row>
    <row r="60" spans="1:26" x14ac:dyDescent="0.25">
      <c r="B60" t="s">
        <v>529</v>
      </c>
      <c r="M60" t="s">
        <v>153</v>
      </c>
    </row>
    <row r="61" spans="1:26" x14ac:dyDescent="0.25">
      <c r="B61" s="21" t="s">
        <v>80</v>
      </c>
      <c r="C61" s="21" t="s">
        <v>222</v>
      </c>
      <c r="D61" t="s">
        <v>1246</v>
      </c>
      <c r="E61" t="s">
        <v>1247</v>
      </c>
      <c r="F61" s="21" t="s">
        <v>217</v>
      </c>
      <c r="G61" t="s">
        <v>1246</v>
      </c>
      <c r="H61" t="s">
        <v>1247</v>
      </c>
      <c r="I61" s="21" t="s">
        <v>144</v>
      </c>
      <c r="J61" t="s">
        <v>1246</v>
      </c>
      <c r="K61" t="s">
        <v>1247</v>
      </c>
      <c r="M61" s="37" t="s">
        <v>80</v>
      </c>
      <c r="N61" s="37" t="s">
        <v>222</v>
      </c>
      <c r="O61" s="37" t="s">
        <v>1246</v>
      </c>
      <c r="P61" s="37" t="s">
        <v>1247</v>
      </c>
      <c r="Q61" s="37" t="s">
        <v>217</v>
      </c>
      <c r="R61" s="37" t="s">
        <v>1246</v>
      </c>
      <c r="S61" s="37" t="s">
        <v>1247</v>
      </c>
      <c r="T61" s="37" t="s">
        <v>144</v>
      </c>
      <c r="U61" s="37" t="s">
        <v>1246</v>
      </c>
      <c r="V61" s="37" t="s">
        <v>1247</v>
      </c>
    </row>
    <row r="62" spans="1:26" x14ac:dyDescent="0.25">
      <c r="B62" s="21" t="s">
        <v>137</v>
      </c>
      <c r="C62" s="7">
        <v>10.7523</v>
      </c>
      <c r="D62" s="8">
        <v>5.0769000000000002</v>
      </c>
      <c r="E62" s="8">
        <v>16.427600000000002</v>
      </c>
      <c r="F62" s="7">
        <v>1.8250999999999999</v>
      </c>
      <c r="G62" s="8">
        <v>0</v>
      </c>
      <c r="H62" s="8">
        <v>4.2412999999999998</v>
      </c>
      <c r="I62" s="8">
        <v>5.7888999999999999</v>
      </c>
      <c r="J62" s="8">
        <v>2.8542000000000001</v>
      </c>
      <c r="K62" s="8">
        <v>8.7236999999999991</v>
      </c>
      <c r="M62" s="37" t="s">
        <v>137</v>
      </c>
      <c r="N62" s="7">
        <v>2.7391000000000001</v>
      </c>
      <c r="O62" s="7">
        <v>1.4563999999999999</v>
      </c>
      <c r="P62" s="7">
        <v>4.0217000000000001</v>
      </c>
      <c r="Q62" s="7">
        <v>0.72650000000000003</v>
      </c>
      <c r="R62" s="7">
        <v>7.0699999999999999E-2</v>
      </c>
      <c r="S62" s="7">
        <v>1.3823000000000001</v>
      </c>
      <c r="T62" s="8">
        <v>1.7202</v>
      </c>
      <c r="U62" s="8">
        <v>1.0098</v>
      </c>
      <c r="V62" s="8">
        <v>2.4306000000000001</v>
      </c>
    </row>
    <row r="63" spans="1:26" x14ac:dyDescent="0.25">
      <c r="B63" s="21" t="s">
        <v>138</v>
      </c>
      <c r="C63" s="7">
        <v>11.913600000000001</v>
      </c>
      <c r="D63" s="8">
        <v>6.6604000000000001</v>
      </c>
      <c r="E63" s="8">
        <v>17.166899999999998</v>
      </c>
      <c r="F63" s="7">
        <v>5.7523</v>
      </c>
      <c r="G63" s="8">
        <v>0</v>
      </c>
      <c r="H63" s="8">
        <v>11.6975</v>
      </c>
      <c r="I63" s="8">
        <v>9.6933000000000007</v>
      </c>
      <c r="J63" s="8">
        <v>5.5187999999999997</v>
      </c>
      <c r="K63" s="8">
        <v>13.867800000000001</v>
      </c>
      <c r="M63" s="37" t="s">
        <v>138</v>
      </c>
      <c r="N63" s="7">
        <v>6.4053000000000004</v>
      </c>
      <c r="O63" s="7">
        <v>4.3030999999999997</v>
      </c>
      <c r="P63" s="7">
        <v>8.5074000000000005</v>
      </c>
      <c r="Q63" s="7">
        <v>1.4923999999999999</v>
      </c>
      <c r="R63" s="7">
        <v>0.3841</v>
      </c>
      <c r="S63" s="7">
        <v>2.6006999999999998</v>
      </c>
      <c r="T63" s="8">
        <v>4.2165999999999997</v>
      </c>
      <c r="U63" s="8">
        <v>2.9613</v>
      </c>
      <c r="V63" s="8">
        <v>5.4720000000000004</v>
      </c>
    </row>
    <row r="64" spans="1:26" x14ac:dyDescent="0.25">
      <c r="B64" s="21" t="s">
        <v>139</v>
      </c>
      <c r="C64" s="7">
        <v>22.196400000000001</v>
      </c>
      <c r="D64" s="8">
        <v>11.307399999999999</v>
      </c>
      <c r="E64" s="8">
        <v>33.0854</v>
      </c>
      <c r="F64" s="7">
        <v>24.328299999999999</v>
      </c>
      <c r="G64" s="8">
        <v>13.982799999999999</v>
      </c>
      <c r="H64" s="8">
        <v>34.673900000000003</v>
      </c>
      <c r="I64" s="8">
        <v>22.979299999999999</v>
      </c>
      <c r="J64" s="8">
        <v>14.177099999999999</v>
      </c>
      <c r="K64" s="8">
        <v>31.781400000000001</v>
      </c>
      <c r="M64" s="37" t="s">
        <v>139</v>
      </c>
      <c r="N64" s="7">
        <v>10.4094</v>
      </c>
      <c r="O64" s="7">
        <v>7.1454000000000004</v>
      </c>
      <c r="P64" s="7">
        <v>13.673500000000001</v>
      </c>
      <c r="Q64" s="7">
        <v>6.5209999999999999</v>
      </c>
      <c r="R64" s="7">
        <v>3.2902</v>
      </c>
      <c r="S64" s="7">
        <v>9.7518999999999991</v>
      </c>
      <c r="T64" s="8">
        <v>8.8091000000000008</v>
      </c>
      <c r="U64" s="8">
        <v>6.2962999999999996</v>
      </c>
      <c r="V64" s="8">
        <v>11.321999999999999</v>
      </c>
    </row>
    <row r="65" spans="1:22" x14ac:dyDescent="0.25">
      <c r="B65" s="21" t="s">
        <v>140</v>
      </c>
      <c r="C65" s="7">
        <v>25.5763</v>
      </c>
      <c r="D65" s="8">
        <v>12.0007</v>
      </c>
      <c r="E65" s="8">
        <v>39.151899999999998</v>
      </c>
      <c r="F65" s="7">
        <v>15.297700000000001</v>
      </c>
      <c r="G65" s="8">
        <v>5.0233999999999996</v>
      </c>
      <c r="H65" s="8">
        <v>25.571999999999999</v>
      </c>
      <c r="I65" s="8">
        <v>20.091699999999999</v>
      </c>
      <c r="J65" s="8">
        <v>10.3096</v>
      </c>
      <c r="K65" s="8">
        <v>29.873699999999999</v>
      </c>
      <c r="M65" s="37" t="s">
        <v>140</v>
      </c>
      <c r="N65" s="7">
        <v>11.0425</v>
      </c>
      <c r="O65" s="7">
        <v>7.4653999999999998</v>
      </c>
      <c r="P65" s="7">
        <v>14.6195</v>
      </c>
      <c r="Q65" s="7">
        <v>6.8056999999999999</v>
      </c>
      <c r="R65" s="7">
        <v>4.1223000000000001</v>
      </c>
      <c r="S65" s="7">
        <v>9.4891000000000005</v>
      </c>
      <c r="T65" s="8">
        <v>9.0631000000000004</v>
      </c>
      <c r="U65" s="8">
        <v>6.5701999999999998</v>
      </c>
      <c r="V65" s="8">
        <v>11.555899999999999</v>
      </c>
    </row>
    <row r="66" spans="1:22" x14ac:dyDescent="0.25">
      <c r="B66" s="21" t="s">
        <v>141</v>
      </c>
      <c r="C66" s="7">
        <v>22.250399999999999</v>
      </c>
      <c r="D66" s="8">
        <v>11.3614</v>
      </c>
      <c r="E66" s="8">
        <v>33.139499999999998</v>
      </c>
      <c r="F66" s="7">
        <v>22.5062</v>
      </c>
      <c r="G66" s="8">
        <v>8.2401</v>
      </c>
      <c r="H66" s="8">
        <v>36.772300000000001</v>
      </c>
      <c r="I66" s="8">
        <v>22.363299999999999</v>
      </c>
      <c r="J66" s="8">
        <v>12.921799999999999</v>
      </c>
      <c r="K66" s="8">
        <v>31.8049</v>
      </c>
      <c r="M66" s="37" t="s">
        <v>141</v>
      </c>
      <c r="N66" s="7">
        <v>8.7939000000000007</v>
      </c>
      <c r="O66" s="7">
        <v>5.7251000000000003</v>
      </c>
      <c r="P66" s="7">
        <v>11.8628</v>
      </c>
      <c r="Q66" s="7">
        <v>10.4316</v>
      </c>
      <c r="R66" s="7">
        <v>6.2424999999999997</v>
      </c>
      <c r="S66" s="7">
        <v>14.620699999999999</v>
      </c>
      <c r="T66" s="8">
        <v>9.5152000000000001</v>
      </c>
      <c r="U66" s="8">
        <v>6.9627999999999997</v>
      </c>
      <c r="V66" s="8">
        <v>12.067600000000001</v>
      </c>
    </row>
    <row r="67" spans="1:22" x14ac:dyDescent="0.25">
      <c r="B67" s="21" t="s">
        <v>142</v>
      </c>
      <c r="C67" s="7">
        <v>9.2730999999999995</v>
      </c>
      <c r="D67" s="8">
        <v>1.0613999999999999</v>
      </c>
      <c r="E67" s="8">
        <v>17.4847</v>
      </c>
      <c r="F67" s="7">
        <v>24.727399999999999</v>
      </c>
      <c r="G67" s="8">
        <v>7.4908000000000001</v>
      </c>
      <c r="H67" s="8">
        <v>41.963999999999999</v>
      </c>
      <c r="I67" s="8">
        <v>16.4572</v>
      </c>
      <c r="J67" s="8">
        <v>6.8125999999999998</v>
      </c>
      <c r="K67" s="8">
        <v>26.101800000000001</v>
      </c>
      <c r="M67" s="37" t="s">
        <v>142</v>
      </c>
      <c r="N67" s="7">
        <v>14.269500000000001</v>
      </c>
      <c r="O67" s="7">
        <v>6.7178000000000004</v>
      </c>
      <c r="P67" s="7">
        <v>21.821300000000001</v>
      </c>
      <c r="Q67" s="7">
        <v>5.6688000000000001</v>
      </c>
      <c r="R67" s="7">
        <v>2.5625</v>
      </c>
      <c r="S67" s="7">
        <v>8.7751000000000001</v>
      </c>
      <c r="T67" s="8">
        <v>10.3165</v>
      </c>
      <c r="U67" s="8">
        <v>5.8135000000000003</v>
      </c>
      <c r="V67" s="8">
        <v>14.819599999999999</v>
      </c>
    </row>
    <row r="68" spans="1:22" x14ac:dyDescent="0.25">
      <c r="B68" s="21" t="s">
        <v>143</v>
      </c>
      <c r="C68" s="7">
        <v>17.155999999999999</v>
      </c>
      <c r="D68" s="8">
        <v>5.2008999999999999</v>
      </c>
      <c r="E68" s="8">
        <v>29.1111</v>
      </c>
      <c r="F68" s="7">
        <v>12.907299999999999</v>
      </c>
      <c r="G68" s="8">
        <v>0</v>
      </c>
      <c r="H68" s="8">
        <v>27.030100000000001</v>
      </c>
      <c r="I68" s="8">
        <v>15.566700000000001</v>
      </c>
      <c r="J68" s="8">
        <v>6.8287000000000004</v>
      </c>
      <c r="K68" s="8">
        <v>24.3047</v>
      </c>
      <c r="M68" s="37" t="s">
        <v>143</v>
      </c>
      <c r="N68" s="7">
        <v>6.4074</v>
      </c>
      <c r="O68" s="7">
        <v>3.5684999999999998</v>
      </c>
      <c r="P68" s="7">
        <v>9.2462999999999997</v>
      </c>
      <c r="Q68" s="7">
        <v>4.2521000000000004</v>
      </c>
      <c r="R68" s="7">
        <v>0.86850000000000005</v>
      </c>
      <c r="S68" s="7">
        <v>7.6356999999999999</v>
      </c>
      <c r="T68" s="8">
        <v>5.4607000000000001</v>
      </c>
      <c r="U68" s="8">
        <v>3.2890999999999999</v>
      </c>
      <c r="V68" s="8">
        <v>7.6322000000000001</v>
      </c>
    </row>
    <row r="69" spans="1:22" x14ac:dyDescent="0.25">
      <c r="B69" s="21" t="s">
        <v>392</v>
      </c>
      <c r="C69" s="21" t="s">
        <v>1248</v>
      </c>
      <c r="D69" t="s">
        <v>1248</v>
      </c>
      <c r="E69" t="s">
        <v>1248</v>
      </c>
      <c r="F69" s="8">
        <v>15.9094</v>
      </c>
      <c r="G69" s="8">
        <v>3.0767000000000002</v>
      </c>
      <c r="H69" s="8">
        <v>28.742100000000001</v>
      </c>
      <c r="I69" s="31" t="s">
        <v>1248</v>
      </c>
      <c r="J69" s="8">
        <v>3.0767000000000002</v>
      </c>
      <c r="K69" s="8">
        <v>28.742100000000001</v>
      </c>
      <c r="M69" s="37" t="s">
        <v>392</v>
      </c>
      <c r="N69" s="37" t="s">
        <v>1248</v>
      </c>
      <c r="O69" s="37" t="s">
        <v>1248</v>
      </c>
      <c r="P69" s="37" t="s">
        <v>1248</v>
      </c>
      <c r="Q69" s="7">
        <v>9.1097999999999999</v>
      </c>
      <c r="R69" s="7">
        <v>2.3006000000000002</v>
      </c>
      <c r="S69" s="7">
        <v>15.9191</v>
      </c>
      <c r="T69" s="83">
        <v>9.1097999999999999</v>
      </c>
      <c r="U69" s="8">
        <v>2.3006000000000002</v>
      </c>
      <c r="V69" s="8">
        <v>15.9191</v>
      </c>
    </row>
    <row r="70" spans="1:22" x14ac:dyDescent="0.25">
      <c r="B70" s="21" t="s">
        <v>144</v>
      </c>
      <c r="C70" s="8">
        <v>15.968400000000001</v>
      </c>
      <c r="D70" s="8">
        <v>11.85</v>
      </c>
      <c r="E70" s="8">
        <v>20.0869</v>
      </c>
      <c r="F70" s="8">
        <v>11.6173</v>
      </c>
      <c r="G70" s="8">
        <v>8.1296999999999997</v>
      </c>
      <c r="H70" s="8">
        <v>15.104900000000001</v>
      </c>
      <c r="I70" s="8">
        <v>13.941800000000001</v>
      </c>
      <c r="J70" s="8">
        <v>10.484500000000001</v>
      </c>
      <c r="K70" s="8">
        <v>17.399100000000001</v>
      </c>
      <c r="M70" s="37" t="s">
        <v>144</v>
      </c>
      <c r="N70" s="8">
        <v>7.9831000000000003</v>
      </c>
      <c r="O70" s="8">
        <v>6.7652000000000001</v>
      </c>
      <c r="P70" s="8">
        <v>9.2010000000000005</v>
      </c>
      <c r="Q70" s="8">
        <v>4.5518000000000001</v>
      </c>
      <c r="R70" s="8">
        <v>3.5501999999999998</v>
      </c>
      <c r="S70" s="8">
        <v>5.5533999999999999</v>
      </c>
      <c r="T70" s="8">
        <v>6.3609</v>
      </c>
      <c r="U70" s="8">
        <v>5.4173999999999998</v>
      </c>
      <c r="V70" s="8">
        <v>7.3044000000000002</v>
      </c>
    </row>
    <row r="71" spans="1:22" x14ac:dyDescent="0.25">
      <c r="D71" s="8">
        <f>C70-D70</f>
        <v>4.1184000000000012</v>
      </c>
      <c r="E71" s="8">
        <f>E70-C70</f>
        <v>4.1184999999999992</v>
      </c>
      <c r="F71" s="8">
        <f>F70-G70</f>
        <v>3.4876000000000005</v>
      </c>
      <c r="O71" s="8">
        <f>N70-O70</f>
        <v>1.2179000000000002</v>
      </c>
      <c r="P71" s="8">
        <f>P70-N70</f>
        <v>1.2179000000000002</v>
      </c>
      <c r="U71" s="8">
        <f>T70-U70</f>
        <v>0.94350000000000023</v>
      </c>
      <c r="V71" s="8">
        <f>V70-T70</f>
        <v>0.94350000000000023</v>
      </c>
    </row>
    <row r="72" spans="1:22" x14ac:dyDescent="0.25">
      <c r="A72" s="2" t="s">
        <v>588</v>
      </c>
    </row>
    <row r="73" spans="1:22" x14ac:dyDescent="0.25">
      <c r="N73" s="2"/>
    </row>
    <row r="74" spans="1:22" x14ac:dyDescent="0.25">
      <c r="B74" t="s">
        <v>589</v>
      </c>
    </row>
    <row r="75" spans="1:22" x14ac:dyDescent="0.25">
      <c r="B75" t="s">
        <v>483</v>
      </c>
      <c r="C75" t="s">
        <v>215</v>
      </c>
      <c r="D75" t="s">
        <v>223</v>
      </c>
      <c r="E75" t="s">
        <v>144</v>
      </c>
    </row>
    <row r="76" spans="1:22" x14ac:dyDescent="0.25">
      <c r="B76" s="21" t="s">
        <v>473</v>
      </c>
      <c r="C76" s="18">
        <v>0.224</v>
      </c>
      <c r="D76" s="18">
        <v>0.19400000000000001</v>
      </c>
      <c r="E76" s="18">
        <v>0.21</v>
      </c>
    </row>
    <row r="77" spans="1:22" x14ac:dyDescent="0.25">
      <c r="B77" s="21" t="s">
        <v>480</v>
      </c>
      <c r="C77" s="18">
        <v>4.7E-2</v>
      </c>
      <c r="D77" s="18">
        <v>0.04</v>
      </c>
      <c r="E77" s="18">
        <v>4.3999999999999997E-2</v>
      </c>
    </row>
    <row r="78" spans="1:22" x14ac:dyDescent="0.25">
      <c r="B78" s="21" t="s">
        <v>474</v>
      </c>
      <c r="C78" s="18">
        <v>0.14199999999999999</v>
      </c>
      <c r="D78" s="18">
        <v>0.122</v>
      </c>
      <c r="E78" s="18">
        <v>0.13300000000000001</v>
      </c>
    </row>
    <row r="79" spans="1:22" x14ac:dyDescent="0.25">
      <c r="B79" s="21" t="s">
        <v>472</v>
      </c>
      <c r="C79" s="18">
        <v>0.17399999999999999</v>
      </c>
      <c r="D79" s="18">
        <v>0.15</v>
      </c>
      <c r="E79" s="18">
        <v>0.16300000000000001</v>
      </c>
    </row>
    <row r="80" spans="1:22" x14ac:dyDescent="0.25">
      <c r="B80" s="21" t="s">
        <v>471</v>
      </c>
      <c r="C80" s="18">
        <v>0.221</v>
      </c>
      <c r="D80" s="18">
        <v>0.191</v>
      </c>
      <c r="E80" s="18">
        <v>0.20699999999999999</v>
      </c>
    </row>
    <row r="81" spans="1:9" x14ac:dyDescent="0.25">
      <c r="B81" s="21" t="s">
        <v>481</v>
      </c>
      <c r="C81" s="18">
        <v>4.4999999999999998E-2</v>
      </c>
      <c r="D81" s="18">
        <v>3.9E-2</v>
      </c>
      <c r="E81" s="18">
        <v>4.2000000000000003E-2</v>
      </c>
    </row>
    <row r="83" spans="1:9" x14ac:dyDescent="0.25">
      <c r="A83" s="2" t="s">
        <v>590</v>
      </c>
      <c r="I83" s="21"/>
    </row>
    <row r="84" spans="1:9" x14ac:dyDescent="0.25">
      <c r="B84" t="s">
        <v>591</v>
      </c>
      <c r="I84" s="21"/>
    </row>
    <row r="85" spans="1:9" x14ac:dyDescent="0.25">
      <c r="B85" t="s">
        <v>500</v>
      </c>
      <c r="C85" t="s">
        <v>107</v>
      </c>
      <c r="I85" s="21"/>
    </row>
    <row r="86" spans="1:9" x14ac:dyDescent="0.25">
      <c r="B86">
        <v>1983</v>
      </c>
      <c r="C86" s="12">
        <v>2E-3</v>
      </c>
      <c r="E86">
        <v>2E-3</v>
      </c>
      <c r="I86" s="21"/>
    </row>
    <row r="87" spans="1:9" x14ac:dyDescent="0.25">
      <c r="B87">
        <v>1987</v>
      </c>
      <c r="C87" s="12">
        <v>2.0899999999999998E-2</v>
      </c>
      <c r="E87">
        <v>2.0899999999999998E-2</v>
      </c>
      <c r="I87" s="21"/>
    </row>
    <row r="88" spans="1:9" x14ac:dyDescent="0.25">
      <c r="B88">
        <v>1990</v>
      </c>
      <c r="C88" s="12">
        <v>0.12330000000000001</v>
      </c>
      <c r="E88">
        <v>0.12330000000000001</v>
      </c>
      <c r="I88" s="21"/>
    </row>
    <row r="89" spans="1:9" x14ac:dyDescent="0.25">
      <c r="B89">
        <v>1994</v>
      </c>
      <c r="C89" s="12">
        <v>0.24310000000000001</v>
      </c>
      <c r="E89">
        <v>0.24310000000000001</v>
      </c>
      <c r="I89" s="21"/>
    </row>
    <row r="90" spans="1:9" x14ac:dyDescent="0.25">
      <c r="B90">
        <v>1999</v>
      </c>
      <c r="C90" s="12">
        <v>0.23019999999999999</v>
      </c>
      <c r="E90">
        <v>0.23019999999999999</v>
      </c>
      <c r="I90" s="21"/>
    </row>
    <row r="91" spans="1:9" x14ac:dyDescent="0.25">
      <c r="B91">
        <v>2003</v>
      </c>
      <c r="C91" s="12">
        <v>0.17100000000000001</v>
      </c>
      <c r="E91">
        <v>0.17100000000000001</v>
      </c>
      <c r="I91" s="21"/>
    </row>
    <row r="92" spans="1:9" x14ac:dyDescent="0.25">
      <c r="B92">
        <v>2007</v>
      </c>
      <c r="C92" s="12">
        <v>0.13719999999999999</v>
      </c>
      <c r="E92">
        <v>0.13719999999999999</v>
      </c>
      <c r="I92" s="21"/>
    </row>
    <row r="93" spans="1:9" x14ac:dyDescent="0.25">
      <c r="B93">
        <v>2011</v>
      </c>
      <c r="C93" s="12">
        <v>0.1419</v>
      </c>
      <c r="E93">
        <v>0.1419</v>
      </c>
    </row>
    <row r="94" spans="1:9" x14ac:dyDescent="0.25">
      <c r="B94" s="33">
        <v>2015</v>
      </c>
      <c r="C94" s="34">
        <v>0.14560000000000001</v>
      </c>
      <c r="D94" t="s">
        <v>592</v>
      </c>
      <c r="E94">
        <v>0.14560000000000001</v>
      </c>
    </row>
    <row r="95" spans="1:9" x14ac:dyDescent="0.25">
      <c r="B95" s="33">
        <v>2019</v>
      </c>
      <c r="C95" s="34">
        <v>0.12520000000000001</v>
      </c>
      <c r="E95">
        <v>0.12520000000000001</v>
      </c>
    </row>
    <row r="97" spans="1:3" x14ac:dyDescent="0.25">
      <c r="A97" s="2" t="s">
        <v>593</v>
      </c>
    </row>
    <row r="98" spans="1:3" x14ac:dyDescent="0.25">
      <c r="B98" t="s">
        <v>594</v>
      </c>
    </row>
    <row r="99" spans="1:3" x14ac:dyDescent="0.25">
      <c r="B99" t="s">
        <v>196</v>
      </c>
      <c r="C99" t="s">
        <v>595</v>
      </c>
    </row>
    <row r="100" spans="1:3" x14ac:dyDescent="0.25">
      <c r="B100">
        <v>1990</v>
      </c>
      <c r="C100" s="12">
        <v>6.8000000000000005E-2</v>
      </c>
    </row>
    <row r="101" spans="1:3" x14ac:dyDescent="0.25">
      <c r="B101" s="21">
        <v>1991</v>
      </c>
      <c r="C101" s="12">
        <v>0.109</v>
      </c>
    </row>
    <row r="102" spans="1:3" x14ac:dyDescent="0.25">
      <c r="B102" s="21">
        <v>1992</v>
      </c>
      <c r="C102" s="12">
        <v>0.128</v>
      </c>
    </row>
    <row r="103" spans="1:3" x14ac:dyDescent="0.25">
      <c r="B103" s="21">
        <v>1993</v>
      </c>
      <c r="C103" s="12">
        <v>0.127</v>
      </c>
    </row>
    <row r="104" spans="1:3" x14ac:dyDescent="0.25">
      <c r="B104" s="21">
        <v>1994</v>
      </c>
      <c r="C104" s="12">
        <v>0.20300000000000001</v>
      </c>
    </row>
    <row r="105" spans="1:3" x14ac:dyDescent="0.25">
      <c r="B105" s="21">
        <v>1995</v>
      </c>
      <c r="C105" s="12">
        <v>0.22900000000000001</v>
      </c>
    </row>
    <row r="106" spans="1:3" x14ac:dyDescent="0.25">
      <c r="B106" s="21">
        <v>1996</v>
      </c>
      <c r="C106" s="12">
        <v>0.113</v>
      </c>
    </row>
    <row r="107" spans="1:3" x14ac:dyDescent="0.25">
      <c r="B107" s="21">
        <v>1997</v>
      </c>
      <c r="C107" s="12">
        <v>0.17199999999999999</v>
      </c>
    </row>
    <row r="108" spans="1:3" x14ac:dyDescent="0.25">
      <c r="B108" s="21">
        <v>1998</v>
      </c>
      <c r="C108" s="12">
        <v>0.20300000000000001</v>
      </c>
    </row>
    <row r="109" spans="1:3" x14ac:dyDescent="0.25">
      <c r="B109" s="21">
        <v>1999</v>
      </c>
      <c r="C109" s="12">
        <v>0.16500000000000001</v>
      </c>
    </row>
    <row r="110" spans="1:3" x14ac:dyDescent="0.25">
      <c r="B110" s="21">
        <v>2000</v>
      </c>
      <c r="C110" s="12">
        <v>0.18</v>
      </c>
    </row>
    <row r="111" spans="1:3" x14ac:dyDescent="0.25">
      <c r="B111" s="21">
        <v>2001</v>
      </c>
      <c r="C111" s="12">
        <v>0.13100000000000001</v>
      </c>
    </row>
    <row r="112" spans="1:3" x14ac:dyDescent="0.25">
      <c r="B112" s="21">
        <v>2002</v>
      </c>
      <c r="C112" s="12">
        <v>0.10800000000000001</v>
      </c>
    </row>
    <row r="113" spans="1:7" x14ac:dyDescent="0.25">
      <c r="B113" s="21">
        <v>2003</v>
      </c>
      <c r="C113" s="12">
        <v>9.0999999999999998E-2</v>
      </c>
    </row>
    <row r="114" spans="1:7" x14ac:dyDescent="0.25">
      <c r="B114" s="21">
        <v>2004</v>
      </c>
      <c r="C114" s="12">
        <v>6.2E-2</v>
      </c>
    </row>
    <row r="115" spans="1:7" x14ac:dyDescent="0.25">
      <c r="B115" s="21">
        <v>2005</v>
      </c>
      <c r="C115" s="12">
        <v>6.8000000000000005E-2</v>
      </c>
    </row>
    <row r="116" spans="1:7" x14ac:dyDescent="0.25">
      <c r="B116" s="21">
        <v>2006</v>
      </c>
      <c r="C116" s="12">
        <v>6.3E-2</v>
      </c>
    </row>
    <row r="118" spans="1:7" x14ac:dyDescent="0.25">
      <c r="A118" s="2" t="s">
        <v>996</v>
      </c>
    </row>
    <row r="120" spans="1:7" x14ac:dyDescent="0.25">
      <c r="B120" t="s">
        <v>988</v>
      </c>
    </row>
    <row r="121" spans="1:7" x14ac:dyDescent="0.25">
      <c r="B121" t="s">
        <v>196</v>
      </c>
      <c r="C121" t="s">
        <v>984</v>
      </c>
      <c r="D121" t="s">
        <v>480</v>
      </c>
      <c r="E121" t="s">
        <v>985</v>
      </c>
      <c r="F121" t="s">
        <v>986</v>
      </c>
      <c r="G121" t="s">
        <v>987</v>
      </c>
    </row>
    <row r="122" spans="1:7" x14ac:dyDescent="0.25">
      <c r="B122">
        <v>1990</v>
      </c>
      <c r="C122">
        <v>18</v>
      </c>
      <c r="D122">
        <v>1</v>
      </c>
    </row>
    <row r="123" spans="1:7" x14ac:dyDescent="0.25">
      <c r="B123">
        <v>1991</v>
      </c>
      <c r="C123">
        <v>18</v>
      </c>
      <c r="D123">
        <v>3</v>
      </c>
    </row>
    <row r="124" spans="1:7" x14ac:dyDescent="0.25">
      <c r="B124" s="37">
        <v>1992</v>
      </c>
      <c r="C124">
        <v>19</v>
      </c>
      <c r="D124">
        <v>0</v>
      </c>
    </row>
    <row r="125" spans="1:7" x14ac:dyDescent="0.25">
      <c r="B125" s="37">
        <v>1993</v>
      </c>
      <c r="C125">
        <v>19</v>
      </c>
      <c r="D125">
        <v>2</v>
      </c>
    </row>
    <row r="126" spans="1:7" x14ac:dyDescent="0.25">
      <c r="B126" s="37">
        <v>1994</v>
      </c>
      <c r="C126">
        <v>29</v>
      </c>
      <c r="D126">
        <v>8</v>
      </c>
    </row>
    <row r="127" spans="1:7" x14ac:dyDescent="0.25">
      <c r="B127" s="37">
        <v>1995</v>
      </c>
      <c r="C127">
        <v>24</v>
      </c>
      <c r="D127">
        <v>3</v>
      </c>
      <c r="E127">
        <v>20</v>
      </c>
    </row>
    <row r="128" spans="1:7" x14ac:dyDescent="0.25">
      <c r="B128" s="37">
        <v>1996</v>
      </c>
      <c r="C128">
        <v>26</v>
      </c>
      <c r="D128">
        <v>15</v>
      </c>
      <c r="E128">
        <v>26</v>
      </c>
    </row>
    <row r="129" spans="1:7" x14ac:dyDescent="0.25">
      <c r="B129" s="37">
        <v>1997</v>
      </c>
      <c r="C129">
        <v>32</v>
      </c>
      <c r="D129">
        <v>15</v>
      </c>
    </row>
    <row r="130" spans="1:7" x14ac:dyDescent="0.25">
      <c r="B130" s="37">
        <v>1998</v>
      </c>
      <c r="C130">
        <v>27</v>
      </c>
      <c r="D130">
        <v>13</v>
      </c>
      <c r="E130">
        <v>35</v>
      </c>
    </row>
    <row r="131" spans="1:7" x14ac:dyDescent="0.25">
      <c r="B131" s="37">
        <v>1999</v>
      </c>
      <c r="C131">
        <v>25</v>
      </c>
      <c r="D131">
        <v>11</v>
      </c>
      <c r="E131">
        <v>24</v>
      </c>
    </row>
    <row r="132" spans="1:7" x14ac:dyDescent="0.25">
      <c r="B132" s="37">
        <v>2000</v>
      </c>
      <c r="C132">
        <v>33</v>
      </c>
      <c r="D132">
        <v>14</v>
      </c>
      <c r="E132">
        <v>29</v>
      </c>
    </row>
    <row r="133" spans="1:7" x14ac:dyDescent="0.25">
      <c r="B133" s="37">
        <v>2001</v>
      </c>
      <c r="C133">
        <v>29</v>
      </c>
      <c r="D133">
        <v>17</v>
      </c>
      <c r="E133">
        <v>25</v>
      </c>
      <c r="F133">
        <v>31</v>
      </c>
      <c r="G133">
        <v>11</v>
      </c>
    </row>
    <row r="134" spans="1:7" x14ac:dyDescent="0.25">
      <c r="B134" s="37">
        <v>2002</v>
      </c>
      <c r="C134">
        <v>26</v>
      </c>
      <c r="D134">
        <v>14</v>
      </c>
      <c r="E134">
        <v>22</v>
      </c>
      <c r="F134">
        <v>34</v>
      </c>
      <c r="G134">
        <v>4</v>
      </c>
    </row>
    <row r="135" spans="1:7" x14ac:dyDescent="0.25">
      <c r="B135" s="37">
        <v>2003</v>
      </c>
      <c r="C135">
        <v>26</v>
      </c>
      <c r="D135">
        <v>9</v>
      </c>
      <c r="E135">
        <v>22</v>
      </c>
      <c r="F135">
        <v>41</v>
      </c>
      <c r="G135">
        <v>9</v>
      </c>
    </row>
    <row r="136" spans="1:7" x14ac:dyDescent="0.25">
      <c r="B136" s="37">
        <v>2004</v>
      </c>
      <c r="C136">
        <v>11.2</v>
      </c>
      <c r="D136">
        <v>6.4</v>
      </c>
      <c r="E136">
        <v>13.8</v>
      </c>
      <c r="F136">
        <v>30</v>
      </c>
      <c r="G136">
        <v>3.2</v>
      </c>
    </row>
    <row r="137" spans="1:7" x14ac:dyDescent="0.25">
      <c r="B137" s="37">
        <v>2005</v>
      </c>
      <c r="C137">
        <v>15.1</v>
      </c>
      <c r="D137">
        <v>7</v>
      </c>
      <c r="E137">
        <v>8.3000000000000007</v>
      </c>
      <c r="F137">
        <v>32.9</v>
      </c>
      <c r="G137">
        <v>3.2</v>
      </c>
    </row>
    <row r="138" spans="1:7" x14ac:dyDescent="0.25">
      <c r="B138" s="37">
        <v>2006</v>
      </c>
      <c r="C138">
        <v>18.5</v>
      </c>
      <c r="D138">
        <v>2.2999999999999998</v>
      </c>
      <c r="E138">
        <v>8.1999999999999993</v>
      </c>
      <c r="F138">
        <v>26.3</v>
      </c>
      <c r="G138">
        <v>1.1000000000000001</v>
      </c>
    </row>
    <row r="139" spans="1:7" x14ac:dyDescent="0.25">
      <c r="B139" s="37">
        <v>2008</v>
      </c>
      <c r="C139">
        <v>16.899999999999999</v>
      </c>
      <c r="D139">
        <v>6.8</v>
      </c>
      <c r="E139">
        <v>21</v>
      </c>
      <c r="F139">
        <v>19.899999999999999</v>
      </c>
      <c r="G139">
        <v>3.4</v>
      </c>
    </row>
    <row r="140" spans="1:7" x14ac:dyDescent="0.25">
      <c r="B140" s="37">
        <v>2010</v>
      </c>
      <c r="C140">
        <v>18.5</v>
      </c>
      <c r="D140">
        <v>8.6999999999999993</v>
      </c>
      <c r="E140">
        <v>22.1</v>
      </c>
      <c r="F140">
        <v>23.5</v>
      </c>
      <c r="G140">
        <v>3.2</v>
      </c>
    </row>
    <row r="141" spans="1:7" x14ac:dyDescent="0.25">
      <c r="B141" s="37">
        <v>2011</v>
      </c>
      <c r="C141">
        <v>15.5</v>
      </c>
      <c r="D141">
        <v>7</v>
      </c>
      <c r="E141">
        <v>25.9</v>
      </c>
      <c r="F141">
        <v>30.3</v>
      </c>
      <c r="G141">
        <v>19.7</v>
      </c>
    </row>
    <row r="142" spans="1:7" x14ac:dyDescent="0.25">
      <c r="B142" s="37"/>
    </row>
    <row r="143" spans="1:7" x14ac:dyDescent="0.25">
      <c r="A143" s="2" t="s">
        <v>997</v>
      </c>
      <c r="B143" s="37"/>
    </row>
    <row r="144" spans="1:7" x14ac:dyDescent="0.25">
      <c r="B144" t="s">
        <v>998</v>
      </c>
    </row>
    <row r="145" spans="1:8" x14ac:dyDescent="0.25">
      <c r="B145" t="s">
        <v>80</v>
      </c>
      <c r="C145" t="s">
        <v>223</v>
      </c>
      <c r="D145" t="s">
        <v>215</v>
      </c>
      <c r="E145" t="s">
        <v>144</v>
      </c>
    </row>
    <row r="146" spans="1:8" x14ac:dyDescent="0.25">
      <c r="B146" s="37" t="s">
        <v>137</v>
      </c>
      <c r="C146">
        <v>2</v>
      </c>
      <c r="D146">
        <v>4</v>
      </c>
      <c r="E146">
        <v>3.2</v>
      </c>
    </row>
    <row r="147" spans="1:8" x14ac:dyDescent="0.25">
      <c r="B147" s="37" t="s">
        <v>138</v>
      </c>
      <c r="C147">
        <v>1.2</v>
      </c>
      <c r="D147">
        <v>15.6</v>
      </c>
      <c r="E147">
        <v>7.9</v>
      </c>
    </row>
    <row r="148" spans="1:8" x14ac:dyDescent="0.25">
      <c r="B148" s="37" t="s">
        <v>139</v>
      </c>
      <c r="C148">
        <v>8.4</v>
      </c>
      <c r="D148">
        <v>20.7</v>
      </c>
      <c r="E148">
        <v>14.7</v>
      </c>
    </row>
    <row r="149" spans="1:8" x14ac:dyDescent="0.25">
      <c r="B149" s="37" t="s">
        <v>140</v>
      </c>
      <c r="C149">
        <v>13.9</v>
      </c>
      <c r="D149">
        <v>14.7</v>
      </c>
      <c r="E149">
        <v>14.3</v>
      </c>
    </row>
    <row r="150" spans="1:8" x14ac:dyDescent="0.25">
      <c r="B150" s="37" t="s">
        <v>141</v>
      </c>
      <c r="C150">
        <v>13.8</v>
      </c>
      <c r="D150">
        <v>15.7</v>
      </c>
      <c r="E150">
        <v>14.7</v>
      </c>
    </row>
    <row r="151" spans="1:8" x14ac:dyDescent="0.25">
      <c r="B151" s="37" t="s">
        <v>142</v>
      </c>
      <c r="C151">
        <v>7.5</v>
      </c>
      <c r="D151">
        <v>6.9</v>
      </c>
      <c r="E151">
        <v>7.3</v>
      </c>
    </row>
    <row r="152" spans="1:8" x14ac:dyDescent="0.25">
      <c r="B152" s="37" t="s">
        <v>143</v>
      </c>
      <c r="C152">
        <v>11.4</v>
      </c>
      <c r="D152">
        <v>13.6</v>
      </c>
      <c r="E152">
        <v>12.3</v>
      </c>
    </row>
    <row r="153" spans="1:8" x14ac:dyDescent="0.25">
      <c r="B153" t="s">
        <v>645</v>
      </c>
      <c r="C153">
        <v>8</v>
      </c>
      <c r="D153">
        <v>13.7</v>
      </c>
      <c r="E153">
        <v>10.8</v>
      </c>
    </row>
    <row r="155" spans="1:8" x14ac:dyDescent="0.25">
      <c r="A155" s="2" t="s">
        <v>999</v>
      </c>
    </row>
    <row r="156" spans="1:8" x14ac:dyDescent="0.25">
      <c r="B156" t="s">
        <v>1009</v>
      </c>
    </row>
    <row r="157" spans="1:8" x14ac:dyDescent="0.25">
      <c r="B157" t="s">
        <v>1000</v>
      </c>
    </row>
    <row r="158" spans="1:8" s="37" customFormat="1" x14ac:dyDescent="0.25">
      <c r="B158" t="s">
        <v>1008</v>
      </c>
      <c r="C158"/>
      <c r="D158"/>
      <c r="E158"/>
      <c r="F158"/>
      <c r="G158"/>
      <c r="H158"/>
    </row>
    <row r="159" spans="1:8" s="37" customFormat="1" x14ac:dyDescent="0.25">
      <c r="B159" t="s">
        <v>1006</v>
      </c>
      <c r="C159">
        <v>29.2</v>
      </c>
      <c r="D159">
        <v>26.2</v>
      </c>
      <c r="E159">
        <v>32.200000000000003</v>
      </c>
      <c r="F159">
        <v>31.1</v>
      </c>
      <c r="G159">
        <v>27.9</v>
      </c>
      <c r="H159">
        <v>34.299999999999997</v>
      </c>
    </row>
    <row r="160" spans="1:8" s="37" customFormat="1" x14ac:dyDescent="0.25">
      <c r="B160" t="s">
        <v>1007</v>
      </c>
      <c r="C160"/>
      <c r="D160"/>
      <c r="E160"/>
      <c r="F160">
        <v>19</v>
      </c>
      <c r="G160">
        <v>15.9</v>
      </c>
      <c r="H160">
        <v>22.2</v>
      </c>
    </row>
    <row r="161" spans="2:9" s="37" customFormat="1" x14ac:dyDescent="0.25">
      <c r="B161" t="s">
        <v>1005</v>
      </c>
      <c r="C161"/>
      <c r="D161"/>
      <c r="E161"/>
      <c r="F161">
        <v>25.1</v>
      </c>
      <c r="G161">
        <v>22.9</v>
      </c>
      <c r="H161">
        <v>27.3</v>
      </c>
    </row>
    <row r="162" spans="2:9" s="37" customFormat="1" x14ac:dyDescent="0.25">
      <c r="B162"/>
      <c r="C162"/>
      <c r="D162"/>
      <c r="E162"/>
      <c r="F162"/>
      <c r="G162"/>
      <c r="H162"/>
    </row>
    <row r="163" spans="2:9" s="37" customFormat="1" x14ac:dyDescent="0.25"/>
    <row r="164" spans="2:9" x14ac:dyDescent="0.25">
      <c r="C164" t="s">
        <v>1001</v>
      </c>
      <c r="D164" t="s">
        <v>575</v>
      </c>
      <c r="E164" t="s">
        <v>576</v>
      </c>
      <c r="F164" t="s">
        <v>1002</v>
      </c>
      <c r="G164" t="s">
        <v>575</v>
      </c>
      <c r="H164" t="s">
        <v>1003</v>
      </c>
    </row>
    <row r="165" spans="2:9" x14ac:dyDescent="0.25">
      <c r="B165" s="37" t="s">
        <v>137</v>
      </c>
      <c r="C165" s="57">
        <v>21.9166666666666</v>
      </c>
      <c r="F165" s="57">
        <v>23.1666666666666</v>
      </c>
      <c r="I165" s="44" t="s">
        <v>1088</v>
      </c>
    </row>
    <row r="166" spans="2:9" s="37" customFormat="1" x14ac:dyDescent="0.25">
      <c r="B166" s="37" t="s">
        <v>138</v>
      </c>
      <c r="C166" s="58">
        <v>37</v>
      </c>
      <c r="F166" s="57">
        <v>38.8333333333333</v>
      </c>
    </row>
    <row r="167" spans="2:9" x14ac:dyDescent="0.25">
      <c r="B167" s="37" t="s">
        <v>139</v>
      </c>
      <c r="C167" s="58">
        <v>36</v>
      </c>
      <c r="F167" s="57">
        <v>37.6666666666666</v>
      </c>
    </row>
    <row r="168" spans="2:9" s="37" customFormat="1" x14ac:dyDescent="0.25">
      <c r="B168" s="37" t="s">
        <v>140</v>
      </c>
      <c r="C168" s="57">
        <v>27.5</v>
      </c>
      <c r="F168" s="57">
        <v>29.75</v>
      </c>
    </row>
    <row r="169" spans="2:9" x14ac:dyDescent="0.25">
      <c r="B169" s="37" t="s">
        <v>349</v>
      </c>
      <c r="C169" s="58">
        <v>24</v>
      </c>
      <c r="F169" s="57">
        <v>29.9166666666666</v>
      </c>
    </row>
    <row r="170" spans="2:9" x14ac:dyDescent="0.25">
      <c r="B170" t="s">
        <v>1004</v>
      </c>
      <c r="C170">
        <v>30.6</v>
      </c>
      <c r="D170">
        <v>28.3</v>
      </c>
      <c r="E170">
        <v>33</v>
      </c>
      <c r="F170">
        <v>30.1</v>
      </c>
      <c r="G170">
        <v>27.1</v>
      </c>
      <c r="H170">
        <v>33.299999999999997</v>
      </c>
    </row>
    <row r="171" spans="2:9" x14ac:dyDescent="0.25">
      <c r="B171" s="37" t="s">
        <v>1087</v>
      </c>
      <c r="C171" s="37">
        <v>23.2</v>
      </c>
      <c r="D171" s="37">
        <v>20</v>
      </c>
      <c r="E171" s="37">
        <v>26.8</v>
      </c>
      <c r="F171" s="37">
        <v>19.8</v>
      </c>
      <c r="G171" s="37">
        <v>16.7</v>
      </c>
      <c r="H171" s="37">
        <v>23.1</v>
      </c>
    </row>
    <row r="172" spans="2:9" x14ac:dyDescent="0.25">
      <c r="B172" t="s">
        <v>1005</v>
      </c>
      <c r="F172">
        <v>25.9</v>
      </c>
      <c r="G172">
        <v>23.7</v>
      </c>
      <c r="H172">
        <v>28.2</v>
      </c>
    </row>
    <row r="174" spans="2:9" x14ac:dyDescent="0.25">
      <c r="B174" t="s">
        <v>1010</v>
      </c>
    </row>
    <row r="175" spans="2:9" x14ac:dyDescent="0.25">
      <c r="C175" t="s">
        <v>1001</v>
      </c>
      <c r="D175" t="s">
        <v>575</v>
      </c>
      <c r="E175" t="s">
        <v>576</v>
      </c>
      <c r="F175" t="s">
        <v>220</v>
      </c>
      <c r="G175" t="s">
        <v>575</v>
      </c>
      <c r="H175" t="s">
        <v>576</v>
      </c>
    </row>
    <row r="176" spans="2:9" x14ac:dyDescent="0.25">
      <c r="B176" t="s">
        <v>137</v>
      </c>
      <c r="C176">
        <v>5.8</v>
      </c>
      <c r="D176">
        <v>0.28000000000000003</v>
      </c>
      <c r="E176">
        <v>11.3</v>
      </c>
      <c r="F176">
        <v>3.5</v>
      </c>
      <c r="G176">
        <v>1.1000000000000001</v>
      </c>
      <c r="H176">
        <v>7.9</v>
      </c>
    </row>
    <row r="177" spans="1:17" x14ac:dyDescent="0.25">
      <c r="B177" t="s">
        <v>1011</v>
      </c>
      <c r="C177">
        <v>29.1</v>
      </c>
      <c r="D177">
        <v>25.6</v>
      </c>
      <c r="E177">
        <v>32.6</v>
      </c>
      <c r="F177">
        <v>18.3</v>
      </c>
      <c r="G177">
        <v>13.6</v>
      </c>
      <c r="H177">
        <v>23.7</v>
      </c>
    </row>
    <row r="178" spans="1:17" x14ac:dyDescent="0.25">
      <c r="B178" t="s">
        <v>156</v>
      </c>
      <c r="C178">
        <v>34.5</v>
      </c>
      <c r="D178">
        <v>30.2</v>
      </c>
      <c r="E178">
        <v>38.799999999999997</v>
      </c>
      <c r="F178">
        <v>33.1</v>
      </c>
      <c r="G178">
        <v>25.8</v>
      </c>
      <c r="H178">
        <v>41.1</v>
      </c>
    </row>
    <row r="179" spans="1:17" x14ac:dyDescent="0.25">
      <c r="B179" t="s">
        <v>157</v>
      </c>
      <c r="C179">
        <v>36.5</v>
      </c>
      <c r="D179">
        <v>27.9</v>
      </c>
      <c r="E179">
        <v>45</v>
      </c>
      <c r="F179">
        <v>27.7</v>
      </c>
      <c r="G179">
        <v>18.399999999999999</v>
      </c>
      <c r="H179">
        <v>38.6</v>
      </c>
    </row>
    <row r="180" spans="1:17" x14ac:dyDescent="0.25">
      <c r="B180" t="s">
        <v>1012</v>
      </c>
      <c r="C180">
        <v>23.2</v>
      </c>
      <c r="D180">
        <v>20</v>
      </c>
      <c r="E180">
        <v>26.8</v>
      </c>
      <c r="F180">
        <v>19.8</v>
      </c>
      <c r="G180">
        <v>16.7</v>
      </c>
      <c r="H180">
        <v>23.1</v>
      </c>
    </row>
    <row r="182" spans="1:17" x14ac:dyDescent="0.25">
      <c r="A182" t="s">
        <v>1325</v>
      </c>
    </row>
    <row r="183" spans="1:17" x14ac:dyDescent="0.25">
      <c r="B183" t="s">
        <v>500</v>
      </c>
      <c r="C183" s="37" t="s">
        <v>595</v>
      </c>
      <c r="D183" s="37" t="s">
        <v>575</v>
      </c>
      <c r="E183" t="s">
        <v>576</v>
      </c>
      <c r="G183" t="s">
        <v>1326</v>
      </c>
      <c r="I183" t="s">
        <v>222</v>
      </c>
      <c r="J183" t="s">
        <v>575</v>
      </c>
      <c r="K183" t="s">
        <v>576</v>
      </c>
      <c r="L183" t="s">
        <v>223</v>
      </c>
      <c r="M183" t="s">
        <v>575</v>
      </c>
      <c r="N183" t="s">
        <v>576</v>
      </c>
    </row>
    <row r="184" spans="1:17" x14ac:dyDescent="0.25">
      <c r="B184">
        <v>1990</v>
      </c>
      <c r="C184" s="40">
        <v>5.6</v>
      </c>
      <c r="D184" s="40">
        <v>4.7</v>
      </c>
      <c r="E184" s="40">
        <v>6.7</v>
      </c>
      <c r="G184" s="37">
        <f>E184-D184</f>
        <v>2</v>
      </c>
      <c r="I184" s="40">
        <v>5.9</v>
      </c>
      <c r="J184" s="40">
        <v>4.9000000000000004</v>
      </c>
      <c r="K184" s="40">
        <v>7.1</v>
      </c>
      <c r="L184" s="40">
        <v>5.3</v>
      </c>
      <c r="M184" s="40">
        <v>4.2</v>
      </c>
      <c r="N184" s="40">
        <v>6.3</v>
      </c>
      <c r="P184" s="37"/>
    </row>
    <row r="185" spans="1:17" x14ac:dyDescent="0.25">
      <c r="B185">
        <v>1991</v>
      </c>
      <c r="C185" s="40">
        <v>7</v>
      </c>
      <c r="D185" s="40">
        <v>6</v>
      </c>
      <c r="E185" s="40">
        <v>8.4</v>
      </c>
      <c r="F185" s="37"/>
      <c r="G185" s="37">
        <f t="shared" ref="G185:G212" si="0">E185-D185</f>
        <v>2.4000000000000004</v>
      </c>
      <c r="I185" s="40">
        <v>7.6</v>
      </c>
      <c r="J185" s="40">
        <v>6.4</v>
      </c>
      <c r="K185" s="40">
        <v>9.1</v>
      </c>
      <c r="L185" s="40">
        <v>6.4</v>
      </c>
      <c r="M185" s="40">
        <v>5.2</v>
      </c>
      <c r="N185" s="40">
        <v>7.8</v>
      </c>
      <c r="P185" s="37"/>
      <c r="Q185" s="37"/>
    </row>
    <row r="186" spans="1:17" x14ac:dyDescent="0.25">
      <c r="B186">
        <v>1992</v>
      </c>
      <c r="C186" s="40">
        <v>8.4</v>
      </c>
      <c r="D186" s="40">
        <v>7.1</v>
      </c>
      <c r="E186" s="40">
        <v>10</v>
      </c>
      <c r="F186" s="37"/>
      <c r="G186" s="37">
        <f t="shared" si="0"/>
        <v>2.9000000000000004</v>
      </c>
      <c r="I186" s="40">
        <v>9.3000000000000007</v>
      </c>
      <c r="J186" s="40">
        <v>7.8</v>
      </c>
      <c r="K186" s="40">
        <v>11.1</v>
      </c>
      <c r="L186" s="40">
        <v>7.5</v>
      </c>
      <c r="M186" s="40">
        <v>6</v>
      </c>
      <c r="N186" s="40">
        <v>9</v>
      </c>
      <c r="P186" s="37"/>
      <c r="Q186" s="37"/>
    </row>
    <row r="187" spans="1:17" x14ac:dyDescent="0.25">
      <c r="B187" s="37">
        <v>1993</v>
      </c>
      <c r="C187" s="40">
        <v>9.6</v>
      </c>
      <c r="D187" s="40">
        <v>8.1</v>
      </c>
      <c r="E187" s="40">
        <v>11.4</v>
      </c>
      <c r="F187" s="37"/>
      <c r="G187" s="37">
        <f t="shared" si="0"/>
        <v>3.3000000000000007</v>
      </c>
      <c r="I187" s="40">
        <v>10.8</v>
      </c>
      <c r="J187" s="40">
        <v>9</v>
      </c>
      <c r="K187" s="40">
        <v>12.9</v>
      </c>
      <c r="L187" s="40">
        <v>8.3000000000000007</v>
      </c>
      <c r="M187" s="40">
        <v>6.7</v>
      </c>
      <c r="N187" s="40">
        <v>10.1</v>
      </c>
      <c r="P187" s="37"/>
      <c r="Q187" s="37"/>
    </row>
    <row r="188" spans="1:17" x14ac:dyDescent="0.25">
      <c r="B188" s="37">
        <v>1994</v>
      </c>
      <c r="C188" s="40">
        <v>10.4</v>
      </c>
      <c r="D188" s="40">
        <v>8.8000000000000007</v>
      </c>
      <c r="E188" s="40">
        <v>12.4</v>
      </c>
      <c r="F188" s="37"/>
      <c r="G188" s="37">
        <f t="shared" si="0"/>
        <v>3.5999999999999996</v>
      </c>
      <c r="I188" s="40">
        <v>11.9</v>
      </c>
      <c r="J188" s="40">
        <v>9.9</v>
      </c>
      <c r="K188" s="40">
        <v>14.2</v>
      </c>
      <c r="L188" s="40">
        <v>8.9</v>
      </c>
      <c r="M188" s="40">
        <v>7.2</v>
      </c>
      <c r="N188" s="40">
        <v>10.7</v>
      </c>
      <c r="P188" s="37"/>
      <c r="Q188" s="37"/>
    </row>
    <row r="189" spans="1:17" x14ac:dyDescent="0.25">
      <c r="B189" s="37">
        <v>1995</v>
      </c>
      <c r="C189" s="40">
        <v>10.9</v>
      </c>
      <c r="D189" s="40">
        <v>9.3000000000000007</v>
      </c>
      <c r="E189" s="40">
        <v>13</v>
      </c>
      <c r="F189" s="37"/>
      <c r="G189" s="37">
        <f t="shared" si="0"/>
        <v>3.6999999999999993</v>
      </c>
      <c r="I189" s="40">
        <v>12.6</v>
      </c>
      <c r="J189" s="40">
        <v>10.5</v>
      </c>
      <c r="K189" s="40">
        <v>15</v>
      </c>
      <c r="L189" s="40">
        <v>9.1999999999999993</v>
      </c>
      <c r="M189" s="40">
        <v>7.4</v>
      </c>
      <c r="N189" s="40">
        <v>11.1</v>
      </c>
      <c r="P189" s="37"/>
      <c r="Q189" s="37"/>
    </row>
    <row r="190" spans="1:17" x14ac:dyDescent="0.25">
      <c r="B190" s="37">
        <v>1996</v>
      </c>
      <c r="C190" s="40">
        <v>11</v>
      </c>
      <c r="D190" s="40">
        <v>9.4</v>
      </c>
      <c r="E190" s="40">
        <v>13.2</v>
      </c>
      <c r="F190" s="37"/>
      <c r="G190" s="37">
        <f t="shared" si="0"/>
        <v>3.7999999999999989</v>
      </c>
      <c r="I190" s="40">
        <v>12.9</v>
      </c>
      <c r="J190" s="40">
        <v>10.7</v>
      </c>
      <c r="K190" s="40">
        <v>15.4</v>
      </c>
      <c r="L190" s="40">
        <v>9.1999999999999993</v>
      </c>
      <c r="M190" s="40">
        <v>7.4</v>
      </c>
      <c r="N190" s="40">
        <v>11.1</v>
      </c>
      <c r="P190" s="37"/>
      <c r="Q190" s="37"/>
    </row>
    <row r="191" spans="1:17" x14ac:dyDescent="0.25">
      <c r="B191" s="37">
        <v>1997</v>
      </c>
      <c r="C191" s="40">
        <v>11</v>
      </c>
      <c r="D191" s="40">
        <v>9.3000000000000007</v>
      </c>
      <c r="E191" s="40">
        <v>13.1</v>
      </c>
      <c r="F191" s="37"/>
      <c r="G191" s="37">
        <f t="shared" si="0"/>
        <v>3.7999999999999989</v>
      </c>
      <c r="I191" s="40">
        <v>12.9</v>
      </c>
      <c r="J191" s="40">
        <v>10.7</v>
      </c>
      <c r="K191" s="40">
        <v>15.4</v>
      </c>
      <c r="L191" s="40">
        <v>9</v>
      </c>
      <c r="M191" s="40">
        <v>7.3</v>
      </c>
      <c r="N191" s="40">
        <v>10.9</v>
      </c>
      <c r="P191" s="37"/>
      <c r="Q191" s="37"/>
    </row>
    <row r="192" spans="1:17" x14ac:dyDescent="0.25">
      <c r="B192" s="37">
        <v>1998</v>
      </c>
      <c r="C192" s="40">
        <v>10.7</v>
      </c>
      <c r="D192" s="40">
        <v>9.1</v>
      </c>
      <c r="E192" s="40">
        <v>12.8</v>
      </c>
      <c r="F192" s="37"/>
      <c r="G192" s="37">
        <f t="shared" si="0"/>
        <v>3.7000000000000011</v>
      </c>
      <c r="I192" s="40">
        <v>12.7</v>
      </c>
      <c r="J192" s="40">
        <v>10.6</v>
      </c>
      <c r="K192" s="40">
        <v>15.2</v>
      </c>
      <c r="L192" s="40">
        <v>8.6999999999999993</v>
      </c>
      <c r="M192" s="40">
        <v>7</v>
      </c>
      <c r="N192" s="40">
        <v>10.5</v>
      </c>
      <c r="P192" s="37"/>
      <c r="Q192" s="37"/>
    </row>
    <row r="193" spans="2:17" x14ac:dyDescent="0.25">
      <c r="B193" s="37">
        <v>1999</v>
      </c>
      <c r="C193" s="40">
        <v>10.3</v>
      </c>
      <c r="D193" s="40">
        <v>8.8000000000000007</v>
      </c>
      <c r="E193" s="40">
        <v>12.3</v>
      </c>
      <c r="F193" s="37"/>
      <c r="G193" s="37">
        <f t="shared" si="0"/>
        <v>3.5</v>
      </c>
      <c r="I193" s="40">
        <v>12.3</v>
      </c>
      <c r="J193" s="40">
        <v>10.3</v>
      </c>
      <c r="K193" s="40">
        <v>14.7</v>
      </c>
      <c r="L193" s="40">
        <v>8.3000000000000007</v>
      </c>
      <c r="M193" s="40">
        <v>6.7</v>
      </c>
      <c r="N193" s="40">
        <v>10</v>
      </c>
      <c r="P193" s="37"/>
      <c r="Q193" s="37"/>
    </row>
    <row r="194" spans="2:17" x14ac:dyDescent="0.25">
      <c r="B194" s="37">
        <v>2000</v>
      </c>
      <c r="C194" s="40">
        <v>9.8000000000000007</v>
      </c>
      <c r="D194" s="40">
        <v>8.4</v>
      </c>
      <c r="E194" s="40">
        <v>11.7</v>
      </c>
      <c r="F194" s="37"/>
      <c r="G194" s="37">
        <f t="shared" si="0"/>
        <v>3.2999999999999989</v>
      </c>
      <c r="I194" s="40">
        <v>11.8</v>
      </c>
      <c r="J194" s="40">
        <v>9.8000000000000007</v>
      </c>
      <c r="K194" s="40">
        <v>14.1</v>
      </c>
      <c r="L194" s="40">
        <v>7.8</v>
      </c>
      <c r="M194" s="40">
        <v>6.3</v>
      </c>
      <c r="N194" s="40">
        <v>9.5</v>
      </c>
      <c r="P194" s="37"/>
      <c r="Q194" s="37"/>
    </row>
    <row r="195" spans="2:17" x14ac:dyDescent="0.25">
      <c r="B195" s="37">
        <v>2001</v>
      </c>
      <c r="C195" s="40">
        <v>9.3000000000000007</v>
      </c>
      <c r="D195" s="40">
        <v>7.9</v>
      </c>
      <c r="E195" s="40">
        <v>11.1</v>
      </c>
      <c r="F195" s="37"/>
      <c r="G195" s="37">
        <f t="shared" si="0"/>
        <v>3.1999999999999993</v>
      </c>
      <c r="I195" s="40">
        <v>11.2</v>
      </c>
      <c r="J195" s="40">
        <v>9.4</v>
      </c>
      <c r="K195" s="40">
        <v>13.5</v>
      </c>
      <c r="L195" s="40">
        <v>7.3</v>
      </c>
      <c r="M195" s="40">
        <v>5.9</v>
      </c>
      <c r="N195" s="40">
        <v>8.9</v>
      </c>
      <c r="P195" s="37"/>
      <c r="Q195" s="37"/>
    </row>
    <row r="196" spans="2:17" x14ac:dyDescent="0.25">
      <c r="B196" s="37">
        <v>2002</v>
      </c>
      <c r="C196" s="40">
        <v>8.8000000000000007</v>
      </c>
      <c r="D196" s="40">
        <v>7.5</v>
      </c>
      <c r="E196" s="40">
        <v>10.5</v>
      </c>
      <c r="F196" s="37"/>
      <c r="G196" s="37">
        <f t="shared" si="0"/>
        <v>3</v>
      </c>
      <c r="I196" s="40">
        <v>10.6</v>
      </c>
      <c r="J196" s="40">
        <v>8.9</v>
      </c>
      <c r="K196" s="40">
        <v>12.7</v>
      </c>
      <c r="L196" s="40">
        <v>6.9</v>
      </c>
      <c r="M196" s="40">
        <v>5.5</v>
      </c>
      <c r="N196" s="40">
        <v>8.3000000000000007</v>
      </c>
      <c r="P196" s="37"/>
      <c r="Q196" s="37"/>
    </row>
    <row r="197" spans="2:17" x14ac:dyDescent="0.25">
      <c r="B197" s="37">
        <v>2003</v>
      </c>
      <c r="C197" s="40">
        <v>8.1999999999999993</v>
      </c>
      <c r="D197" s="40">
        <v>7</v>
      </c>
      <c r="E197" s="40">
        <v>9.8000000000000007</v>
      </c>
      <c r="F197" s="37"/>
      <c r="G197" s="37">
        <f t="shared" si="0"/>
        <v>2.8000000000000007</v>
      </c>
      <c r="I197" s="40">
        <v>10</v>
      </c>
      <c r="J197" s="40">
        <v>8.3000000000000007</v>
      </c>
      <c r="K197" s="40">
        <v>12</v>
      </c>
      <c r="L197" s="40">
        <v>6.4</v>
      </c>
      <c r="M197" s="40">
        <v>5.2</v>
      </c>
      <c r="N197" s="40">
        <v>7.7</v>
      </c>
      <c r="P197" s="37"/>
      <c r="Q197" s="37"/>
    </row>
    <row r="198" spans="2:17" x14ac:dyDescent="0.25">
      <c r="B198" s="37">
        <v>2004</v>
      </c>
      <c r="C198" s="40">
        <v>7.7</v>
      </c>
      <c r="D198" s="40">
        <v>6.5</v>
      </c>
      <c r="E198" s="40">
        <v>9.1999999999999993</v>
      </c>
      <c r="F198" s="37"/>
      <c r="G198" s="37">
        <f t="shared" si="0"/>
        <v>2.6999999999999993</v>
      </c>
      <c r="I198" s="40">
        <v>9.4</v>
      </c>
      <c r="J198" s="40">
        <v>7.9</v>
      </c>
      <c r="K198" s="40">
        <v>11.3</v>
      </c>
      <c r="L198" s="40">
        <v>5.9</v>
      </c>
      <c r="M198" s="40">
        <v>4.8</v>
      </c>
      <c r="N198" s="40">
        <v>7.2</v>
      </c>
      <c r="P198" s="37"/>
      <c r="Q198" s="37"/>
    </row>
    <row r="199" spans="2:17" x14ac:dyDescent="0.25">
      <c r="B199" s="37">
        <v>2005</v>
      </c>
      <c r="C199" s="40">
        <v>7.3</v>
      </c>
      <c r="D199" s="40">
        <v>6.2</v>
      </c>
      <c r="E199" s="40">
        <v>8.6999999999999993</v>
      </c>
      <c r="F199" s="37"/>
      <c r="G199" s="37">
        <f t="shared" si="0"/>
        <v>2.4999999999999991</v>
      </c>
      <c r="I199" s="40">
        <v>8.9</v>
      </c>
      <c r="J199" s="40">
        <v>7.4</v>
      </c>
      <c r="K199" s="40">
        <v>10.7</v>
      </c>
      <c r="L199" s="40">
        <v>5.6</v>
      </c>
      <c r="M199" s="40">
        <v>4.5</v>
      </c>
      <c r="N199" s="40">
        <v>6.7</v>
      </c>
      <c r="P199" s="37"/>
      <c r="Q199" s="37"/>
    </row>
    <row r="200" spans="2:17" x14ac:dyDescent="0.25">
      <c r="B200" s="37">
        <v>2006</v>
      </c>
      <c r="C200" s="40">
        <v>6.9</v>
      </c>
      <c r="D200" s="40">
        <v>5.9</v>
      </c>
      <c r="E200" s="40">
        <v>8.1999999999999993</v>
      </c>
      <c r="F200" s="37"/>
      <c r="G200" s="37">
        <f t="shared" si="0"/>
        <v>2.2999999999999989</v>
      </c>
      <c r="I200" s="40">
        <v>8.5</v>
      </c>
      <c r="J200" s="40">
        <v>7.1</v>
      </c>
      <c r="K200" s="40">
        <v>10.199999999999999</v>
      </c>
      <c r="L200" s="40">
        <v>5.3</v>
      </c>
      <c r="M200" s="40">
        <v>4.3</v>
      </c>
      <c r="N200" s="40">
        <v>6.4</v>
      </c>
      <c r="P200" s="37"/>
      <c r="Q200" s="37"/>
    </row>
    <row r="201" spans="2:17" x14ac:dyDescent="0.25">
      <c r="B201" s="37">
        <v>2007</v>
      </c>
      <c r="C201" s="40">
        <v>6.6</v>
      </c>
      <c r="D201" s="40">
        <v>5.6</v>
      </c>
      <c r="E201" s="40">
        <v>7.9</v>
      </c>
      <c r="F201" s="37"/>
      <c r="G201" s="37">
        <f t="shared" si="0"/>
        <v>2.3000000000000007</v>
      </c>
      <c r="I201" s="40">
        <v>8.1</v>
      </c>
      <c r="J201" s="40">
        <v>6.8</v>
      </c>
      <c r="K201" s="40">
        <v>9.8000000000000007</v>
      </c>
      <c r="L201" s="40">
        <v>5.0999999999999996</v>
      </c>
      <c r="M201" s="40">
        <v>4.0999999999999996</v>
      </c>
      <c r="N201" s="40">
        <v>6.1</v>
      </c>
      <c r="P201" s="37"/>
      <c r="Q201" s="37"/>
    </row>
    <row r="202" spans="2:17" x14ac:dyDescent="0.25">
      <c r="B202" s="37">
        <v>2008</v>
      </c>
      <c r="C202" s="40">
        <v>6.4</v>
      </c>
      <c r="D202" s="40">
        <v>5.4</v>
      </c>
      <c r="E202" s="40">
        <v>7.6</v>
      </c>
      <c r="F202" s="37"/>
      <c r="G202" s="37">
        <f t="shared" si="0"/>
        <v>2.1999999999999993</v>
      </c>
      <c r="I202" s="40">
        <v>7.9</v>
      </c>
      <c r="J202" s="40">
        <v>6.5</v>
      </c>
      <c r="K202" s="40">
        <v>9.4</v>
      </c>
      <c r="L202" s="40">
        <v>4.9000000000000004</v>
      </c>
      <c r="M202" s="40">
        <v>3.9</v>
      </c>
      <c r="N202" s="40">
        <v>5.9</v>
      </c>
      <c r="P202" s="37"/>
      <c r="Q202" s="37"/>
    </row>
    <row r="203" spans="2:17" x14ac:dyDescent="0.25">
      <c r="B203" s="37">
        <v>2009</v>
      </c>
      <c r="C203" s="40">
        <v>6.2</v>
      </c>
      <c r="D203" s="40">
        <v>5.2</v>
      </c>
      <c r="E203" s="40">
        <v>7.3</v>
      </c>
      <c r="F203" s="37"/>
      <c r="G203" s="37">
        <f t="shared" si="0"/>
        <v>2.0999999999999996</v>
      </c>
      <c r="I203" s="40">
        <v>7.6</v>
      </c>
      <c r="J203" s="40">
        <v>6.3</v>
      </c>
      <c r="K203" s="40">
        <v>9.1</v>
      </c>
      <c r="L203" s="40">
        <v>4.7</v>
      </c>
      <c r="M203" s="40">
        <v>3.8</v>
      </c>
      <c r="N203" s="40">
        <v>5.7</v>
      </c>
      <c r="P203" s="37"/>
      <c r="Q203" s="37"/>
    </row>
    <row r="204" spans="2:17" x14ac:dyDescent="0.25">
      <c r="B204" s="37">
        <v>2010</v>
      </c>
      <c r="C204" s="40">
        <v>6</v>
      </c>
      <c r="D204" s="40">
        <v>5.0999999999999996</v>
      </c>
      <c r="E204" s="40">
        <v>7.1</v>
      </c>
      <c r="F204" s="37"/>
      <c r="G204" s="37">
        <f t="shared" si="0"/>
        <v>2</v>
      </c>
      <c r="I204" s="40">
        <v>7.4</v>
      </c>
      <c r="J204" s="40">
        <v>6.1</v>
      </c>
      <c r="K204" s="40">
        <v>8.8000000000000007</v>
      </c>
      <c r="L204" s="40">
        <v>4.5</v>
      </c>
      <c r="M204" s="40">
        <v>3.7</v>
      </c>
      <c r="N204" s="40">
        <v>5.5</v>
      </c>
      <c r="P204" s="37"/>
      <c r="Q204" s="37"/>
    </row>
    <row r="205" spans="2:17" x14ac:dyDescent="0.25">
      <c r="B205" s="37">
        <v>2011</v>
      </c>
      <c r="C205" s="40">
        <v>5.8</v>
      </c>
      <c r="D205" s="40">
        <v>4.9000000000000004</v>
      </c>
      <c r="E205" s="40">
        <v>6.9</v>
      </c>
      <c r="F205" s="37"/>
      <c r="G205" s="37">
        <f t="shared" si="0"/>
        <v>2</v>
      </c>
      <c r="I205" s="40">
        <v>7.1</v>
      </c>
      <c r="J205" s="40">
        <v>5.9</v>
      </c>
      <c r="K205" s="40">
        <v>8.5</v>
      </c>
      <c r="L205" s="40">
        <v>4.4000000000000004</v>
      </c>
      <c r="M205" s="40">
        <v>3.6</v>
      </c>
      <c r="N205" s="40">
        <v>5.3</v>
      </c>
      <c r="P205" s="37"/>
      <c r="Q205" s="37"/>
    </row>
    <row r="206" spans="2:17" x14ac:dyDescent="0.25">
      <c r="B206" s="37">
        <v>2012</v>
      </c>
      <c r="C206" s="40">
        <v>5.6</v>
      </c>
      <c r="D206" s="40">
        <v>4.8</v>
      </c>
      <c r="E206" s="40">
        <v>6.7</v>
      </c>
      <c r="F206" s="37"/>
      <c r="G206" s="37">
        <f t="shared" si="0"/>
        <v>1.9000000000000004</v>
      </c>
      <c r="I206" s="40">
        <v>7</v>
      </c>
      <c r="J206" s="40">
        <v>5.8</v>
      </c>
      <c r="K206" s="40">
        <v>8.4</v>
      </c>
      <c r="L206" s="40">
        <v>4.3</v>
      </c>
      <c r="M206" s="40">
        <v>3.4</v>
      </c>
      <c r="N206" s="40">
        <v>5.2</v>
      </c>
      <c r="P206" s="37"/>
      <c r="Q206" s="37"/>
    </row>
    <row r="207" spans="2:17" x14ac:dyDescent="0.25">
      <c r="B207" s="37">
        <v>2013</v>
      </c>
      <c r="C207" s="40">
        <v>5.5</v>
      </c>
      <c r="D207" s="40">
        <v>4.7</v>
      </c>
      <c r="E207" s="40">
        <v>6.6</v>
      </c>
      <c r="F207" s="37"/>
      <c r="G207" s="37">
        <f t="shared" si="0"/>
        <v>1.8999999999999995</v>
      </c>
      <c r="I207" s="40">
        <v>6.9</v>
      </c>
      <c r="J207" s="40">
        <v>5.7</v>
      </c>
      <c r="K207" s="40">
        <v>8.1999999999999993</v>
      </c>
      <c r="L207" s="40">
        <v>4.0999999999999996</v>
      </c>
      <c r="M207" s="40">
        <v>3.3</v>
      </c>
      <c r="N207" s="40">
        <v>5</v>
      </c>
      <c r="P207" s="37"/>
      <c r="Q207" s="37"/>
    </row>
    <row r="208" spans="2:17" x14ac:dyDescent="0.25">
      <c r="B208" s="37">
        <v>2014</v>
      </c>
      <c r="C208" s="40">
        <v>5.4</v>
      </c>
      <c r="D208" s="40">
        <v>4.5999999999999996</v>
      </c>
      <c r="E208" s="40">
        <v>6.4</v>
      </c>
      <c r="F208" s="37"/>
      <c r="G208" s="37">
        <f t="shared" si="0"/>
        <v>1.8000000000000007</v>
      </c>
      <c r="I208" s="40">
        <v>6.7</v>
      </c>
      <c r="J208" s="40">
        <v>5.6</v>
      </c>
      <c r="K208" s="40">
        <v>8.1</v>
      </c>
      <c r="L208" s="40">
        <v>4</v>
      </c>
      <c r="M208" s="40">
        <v>3.2</v>
      </c>
      <c r="N208" s="40">
        <v>4.8</v>
      </c>
      <c r="P208" s="37"/>
      <c r="Q208" s="37"/>
    </row>
    <row r="209" spans="2:17" x14ac:dyDescent="0.25">
      <c r="B209" s="37">
        <v>2015</v>
      </c>
      <c r="C209" s="40">
        <v>5.2</v>
      </c>
      <c r="D209" s="40">
        <v>4.4000000000000004</v>
      </c>
      <c r="E209" s="40">
        <v>6.2</v>
      </c>
      <c r="F209" s="37"/>
      <c r="G209" s="37">
        <f t="shared" si="0"/>
        <v>1.7999999999999998</v>
      </c>
      <c r="I209" s="40">
        <v>6.6</v>
      </c>
      <c r="J209" s="40">
        <v>5.5</v>
      </c>
      <c r="K209" s="40">
        <v>7.9</v>
      </c>
      <c r="L209" s="40">
        <v>3.8</v>
      </c>
      <c r="M209" s="40">
        <v>3.1</v>
      </c>
      <c r="N209" s="40">
        <v>4.5999999999999996</v>
      </c>
      <c r="P209" s="37"/>
      <c r="Q209" s="37"/>
    </row>
    <row r="210" spans="2:17" x14ac:dyDescent="0.25">
      <c r="B210" s="37">
        <v>2016</v>
      </c>
      <c r="C210" s="40">
        <v>5.0999999999999996</v>
      </c>
      <c r="D210" s="40">
        <v>4.3</v>
      </c>
      <c r="E210" s="40">
        <v>6</v>
      </c>
      <c r="F210" s="37"/>
      <c r="G210" s="37">
        <f t="shared" si="0"/>
        <v>1.7000000000000002</v>
      </c>
      <c r="I210" s="40">
        <v>6.4</v>
      </c>
      <c r="J210" s="40">
        <v>5.3</v>
      </c>
      <c r="K210" s="40">
        <v>7.7</v>
      </c>
      <c r="L210" s="40">
        <v>3.7</v>
      </c>
      <c r="M210" s="40">
        <v>3</v>
      </c>
      <c r="N210" s="40">
        <v>4.5</v>
      </c>
      <c r="P210" s="37"/>
      <c r="Q210" s="37"/>
    </row>
    <row r="211" spans="2:17" x14ac:dyDescent="0.25">
      <c r="B211" s="37">
        <v>2017</v>
      </c>
      <c r="C211" s="40">
        <v>4.9000000000000004</v>
      </c>
      <c r="D211" s="40">
        <v>4.2</v>
      </c>
      <c r="E211" s="40">
        <v>5.8</v>
      </c>
      <c r="F211" s="37"/>
      <c r="G211" s="37">
        <f t="shared" si="0"/>
        <v>1.5999999999999996</v>
      </c>
      <c r="I211" s="40">
        <v>6.2</v>
      </c>
      <c r="J211" s="40">
        <v>5.2</v>
      </c>
      <c r="K211" s="40">
        <v>7.5</v>
      </c>
      <c r="L211" s="40">
        <v>3.5</v>
      </c>
      <c r="M211" s="40">
        <v>2.9</v>
      </c>
      <c r="N211" s="40">
        <v>4.3</v>
      </c>
      <c r="P211" s="37"/>
      <c r="Q211" s="37"/>
    </row>
    <row r="212" spans="2:17" x14ac:dyDescent="0.25">
      <c r="B212" s="37">
        <v>2018</v>
      </c>
      <c r="C212" s="40">
        <v>4.7</v>
      </c>
      <c r="D212" s="40">
        <v>4</v>
      </c>
      <c r="E212" s="40">
        <v>5.7</v>
      </c>
      <c r="F212" s="37"/>
      <c r="G212" s="37">
        <f t="shared" si="0"/>
        <v>1.7000000000000002</v>
      </c>
      <c r="I212" s="40">
        <v>6.1</v>
      </c>
      <c r="J212" s="40">
        <v>5</v>
      </c>
      <c r="K212" s="40">
        <v>7.2</v>
      </c>
      <c r="L212" s="40">
        <v>3.4</v>
      </c>
      <c r="M212" s="40">
        <v>2.8</v>
      </c>
      <c r="N212" s="40">
        <v>4.0999999999999996</v>
      </c>
      <c r="P212" s="37"/>
      <c r="Q212" s="37"/>
    </row>
    <row r="213" spans="2:17" x14ac:dyDescent="0.25">
      <c r="K213" s="37" t="str">
        <f>LEFT(L213,4)</f>
        <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1"/>
  <sheetViews>
    <sheetView topLeftCell="A61" workbookViewId="0">
      <selection activeCell="G92" sqref="G92"/>
    </sheetView>
  </sheetViews>
  <sheetFormatPr defaultRowHeight="15" x14ac:dyDescent="0.25"/>
  <cols>
    <col min="4" max="4" width="13.5703125" customWidth="1"/>
    <col min="16" max="16" width="10.28515625" customWidth="1"/>
  </cols>
  <sheetData>
    <row r="1" spans="1:18" x14ac:dyDescent="0.25">
      <c r="A1" s="2" t="s">
        <v>962</v>
      </c>
    </row>
    <row r="2" spans="1:18" x14ac:dyDescent="0.25">
      <c r="B2" t="s">
        <v>963</v>
      </c>
    </row>
    <row r="3" spans="1:18" x14ac:dyDescent="0.25">
      <c r="B3" s="37"/>
      <c r="C3" s="64" t="s">
        <v>778</v>
      </c>
      <c r="D3" s="64"/>
      <c r="E3" s="64"/>
      <c r="F3" s="64"/>
      <c r="G3" s="64"/>
      <c r="H3" s="64"/>
      <c r="I3" s="64"/>
      <c r="J3" s="65" t="s">
        <v>779</v>
      </c>
      <c r="K3" s="65"/>
      <c r="L3" s="65"/>
      <c r="M3" s="65"/>
      <c r="N3" s="65"/>
      <c r="O3" s="65"/>
      <c r="P3" s="65"/>
    </row>
    <row r="4" spans="1:18" x14ac:dyDescent="0.25">
      <c r="B4" s="37"/>
      <c r="C4" s="64" t="s">
        <v>780</v>
      </c>
      <c r="D4" s="64"/>
      <c r="E4" s="64"/>
      <c r="F4" s="64"/>
      <c r="G4" s="64"/>
      <c r="H4" s="64"/>
      <c r="I4" s="64"/>
      <c r="J4" s="65" t="s">
        <v>781</v>
      </c>
      <c r="K4" s="65"/>
      <c r="L4" s="65"/>
      <c r="M4" s="65"/>
      <c r="N4" s="65"/>
      <c r="O4" s="65"/>
      <c r="P4" s="65"/>
    </row>
    <row r="5" spans="1:18" x14ac:dyDescent="0.25">
      <c r="B5" s="37"/>
      <c r="C5" s="64" t="s">
        <v>782</v>
      </c>
      <c r="D5" s="64" t="s">
        <v>783</v>
      </c>
      <c r="E5" s="64" t="s">
        <v>784</v>
      </c>
      <c r="F5" s="64" t="s">
        <v>785</v>
      </c>
      <c r="G5" s="64" t="s">
        <v>786</v>
      </c>
      <c r="H5" s="64" t="s">
        <v>787</v>
      </c>
      <c r="I5" s="64" t="s">
        <v>672</v>
      </c>
      <c r="J5" s="65" t="s">
        <v>782</v>
      </c>
      <c r="K5" s="65" t="s">
        <v>783</v>
      </c>
      <c r="L5" s="65" t="s">
        <v>784</v>
      </c>
      <c r="M5" s="65" t="s">
        <v>785</v>
      </c>
      <c r="N5" s="65" t="s">
        <v>786</v>
      </c>
      <c r="O5" s="65" t="s">
        <v>787</v>
      </c>
      <c r="P5" s="65" t="s">
        <v>672</v>
      </c>
      <c r="R5" t="s">
        <v>225</v>
      </c>
    </row>
    <row r="6" spans="1:18" x14ac:dyDescent="0.25">
      <c r="B6" s="37" t="s">
        <v>788</v>
      </c>
      <c r="C6" s="64"/>
      <c r="D6" s="64"/>
      <c r="E6" s="64"/>
      <c r="F6" s="64"/>
      <c r="G6" s="64"/>
      <c r="H6" s="64"/>
      <c r="I6" s="64"/>
      <c r="J6" s="65"/>
      <c r="K6" s="65"/>
      <c r="L6" s="65"/>
      <c r="M6" s="65"/>
      <c r="N6" s="65"/>
      <c r="O6" s="65"/>
      <c r="P6" s="65"/>
    </row>
    <row r="7" spans="1:18" x14ac:dyDescent="0.25">
      <c r="B7" s="37" t="s">
        <v>789</v>
      </c>
      <c r="C7" s="64">
        <v>33.36</v>
      </c>
      <c r="D7" s="64">
        <v>17.63</v>
      </c>
      <c r="E7" s="64">
        <v>10.51</v>
      </c>
      <c r="F7" s="64">
        <v>6.66</v>
      </c>
      <c r="G7" s="64">
        <v>4.4800000000000004</v>
      </c>
      <c r="H7" s="64">
        <v>6.1</v>
      </c>
      <c r="I7" s="64">
        <v>6.06</v>
      </c>
      <c r="J7" s="65">
        <v>24.04</v>
      </c>
      <c r="K7" s="65">
        <v>12.7</v>
      </c>
      <c r="L7" s="65">
        <v>7.57</v>
      </c>
      <c r="M7" s="65">
        <v>4.8</v>
      </c>
      <c r="N7" s="65">
        <v>3.23</v>
      </c>
      <c r="O7" s="65">
        <v>4.3899999999999997</v>
      </c>
      <c r="P7" s="65">
        <v>4.37</v>
      </c>
    </row>
    <row r="8" spans="1:18" x14ac:dyDescent="0.25">
      <c r="B8" s="37"/>
      <c r="C8" s="64" t="s">
        <v>790</v>
      </c>
      <c r="D8" s="64" t="s">
        <v>791</v>
      </c>
      <c r="E8" s="64" t="s">
        <v>792</v>
      </c>
      <c r="F8" s="64" t="s">
        <v>793</v>
      </c>
      <c r="G8" s="64" t="s">
        <v>794</v>
      </c>
      <c r="H8" s="64" t="s">
        <v>795</v>
      </c>
      <c r="I8" s="64" t="s">
        <v>796</v>
      </c>
      <c r="J8" s="65" t="s">
        <v>797</v>
      </c>
      <c r="K8" s="65" t="s">
        <v>798</v>
      </c>
      <c r="L8" s="65" t="s">
        <v>799</v>
      </c>
      <c r="M8" s="65" t="s">
        <v>800</v>
      </c>
      <c r="N8" s="65" t="s">
        <v>801</v>
      </c>
      <c r="O8" s="65" t="s">
        <v>802</v>
      </c>
      <c r="P8" s="65" t="s">
        <v>803</v>
      </c>
      <c r="R8">
        <f xml:space="preserve"> (9.94/1.96)-33.6</f>
        <v>-28.528571428571432</v>
      </c>
    </row>
    <row r="9" spans="1:18" x14ac:dyDescent="0.25">
      <c r="B9" s="37" t="s">
        <v>804</v>
      </c>
      <c r="C9" s="64">
        <v>35.56</v>
      </c>
      <c r="D9" s="64">
        <v>18.79</v>
      </c>
      <c r="E9" s="64">
        <v>11.2</v>
      </c>
      <c r="F9" s="64">
        <v>7.1</v>
      </c>
      <c r="G9" s="64">
        <v>4.78</v>
      </c>
      <c r="H9" s="64">
        <v>6.5</v>
      </c>
      <c r="I9" s="64">
        <v>6.46</v>
      </c>
      <c r="J9" s="65">
        <v>25.62</v>
      </c>
      <c r="K9" s="65">
        <v>13.54</v>
      </c>
      <c r="L9" s="65">
        <v>8.07</v>
      </c>
      <c r="M9" s="65">
        <v>5.12</v>
      </c>
      <c r="N9" s="65">
        <v>3.44</v>
      </c>
      <c r="O9" s="65">
        <v>4.68</v>
      </c>
      <c r="P9" s="65">
        <v>4.66</v>
      </c>
    </row>
    <row r="10" spans="1:18" x14ac:dyDescent="0.25">
      <c r="B10" s="37"/>
      <c r="C10" s="64" t="s">
        <v>805</v>
      </c>
      <c r="D10" s="64" t="s">
        <v>806</v>
      </c>
      <c r="E10" s="64" t="s">
        <v>807</v>
      </c>
      <c r="F10" s="64" t="s">
        <v>808</v>
      </c>
      <c r="G10" s="64" t="s">
        <v>809</v>
      </c>
      <c r="H10" s="64" t="s">
        <v>810</v>
      </c>
      <c r="I10" s="64" t="s">
        <v>811</v>
      </c>
      <c r="J10" s="65" t="s">
        <v>812</v>
      </c>
      <c r="K10" s="65" t="s">
        <v>813</v>
      </c>
      <c r="L10" s="65" t="s">
        <v>814</v>
      </c>
      <c r="M10" s="65" t="s">
        <v>815</v>
      </c>
      <c r="N10" s="65" t="s">
        <v>816</v>
      </c>
      <c r="O10" s="65" t="s">
        <v>817</v>
      </c>
      <c r="P10" s="65" t="s">
        <v>818</v>
      </c>
    </row>
    <row r="11" spans="1:18" x14ac:dyDescent="0.25">
      <c r="B11" s="37" t="s">
        <v>819</v>
      </c>
      <c r="C11" s="64">
        <v>39.86</v>
      </c>
      <c r="D11" s="64">
        <v>21.06</v>
      </c>
      <c r="E11" s="64">
        <v>12.55</v>
      </c>
      <c r="F11" s="64">
        <v>7.96</v>
      </c>
      <c r="G11" s="64">
        <v>5.35</v>
      </c>
      <c r="H11" s="64">
        <v>7.28</v>
      </c>
      <c r="I11" s="64">
        <v>7.24</v>
      </c>
      <c r="J11" s="65">
        <v>28.72</v>
      </c>
      <c r="K11" s="65">
        <v>15.17</v>
      </c>
      <c r="L11" s="65">
        <v>9.0399999999999991</v>
      </c>
      <c r="M11" s="65">
        <v>5.74</v>
      </c>
      <c r="N11" s="65">
        <v>3.86</v>
      </c>
      <c r="O11" s="65">
        <v>5.25</v>
      </c>
      <c r="P11" s="65">
        <v>5.22</v>
      </c>
    </row>
    <row r="12" spans="1:18" x14ac:dyDescent="0.25">
      <c r="B12" s="37"/>
      <c r="C12" s="64" t="s">
        <v>820</v>
      </c>
      <c r="D12" s="64" t="s">
        <v>821</v>
      </c>
      <c r="E12" s="64" t="s">
        <v>822</v>
      </c>
      <c r="F12" s="64" t="s">
        <v>823</v>
      </c>
      <c r="G12" s="64" t="s">
        <v>824</v>
      </c>
      <c r="H12" s="64" t="s">
        <v>825</v>
      </c>
      <c r="I12" s="64" t="s">
        <v>826</v>
      </c>
      <c r="J12" s="65" t="s">
        <v>827</v>
      </c>
      <c r="K12" s="65" t="s">
        <v>828</v>
      </c>
      <c r="L12" s="65" t="s">
        <v>829</v>
      </c>
      <c r="M12" s="65" t="s">
        <v>830</v>
      </c>
      <c r="N12" s="65" t="s">
        <v>831</v>
      </c>
      <c r="O12" s="65" t="s">
        <v>832</v>
      </c>
      <c r="P12" s="65" t="s">
        <v>833</v>
      </c>
    </row>
    <row r="13" spans="1:18" x14ac:dyDescent="0.25">
      <c r="B13" s="37" t="s">
        <v>834</v>
      </c>
      <c r="C13" s="64">
        <v>53.56</v>
      </c>
      <c r="D13" s="64">
        <v>28.3</v>
      </c>
      <c r="E13" s="64">
        <v>16.87</v>
      </c>
      <c r="F13" s="64">
        <v>10.7</v>
      </c>
      <c r="G13" s="64">
        <v>7.19</v>
      </c>
      <c r="H13" s="64">
        <v>9.7899999999999991</v>
      </c>
      <c r="I13" s="64">
        <v>9.73</v>
      </c>
      <c r="J13" s="65">
        <v>38.590000000000003</v>
      </c>
      <c r="K13" s="65">
        <v>20.39</v>
      </c>
      <c r="L13" s="65">
        <v>12.15</v>
      </c>
      <c r="M13" s="65">
        <v>7.71</v>
      </c>
      <c r="N13" s="65">
        <v>5.18</v>
      </c>
      <c r="O13" s="65">
        <v>7.05</v>
      </c>
      <c r="P13" s="65">
        <v>7.01</v>
      </c>
    </row>
    <row r="14" spans="1:18" x14ac:dyDescent="0.25">
      <c r="B14" s="37"/>
      <c r="C14" s="64" t="s">
        <v>835</v>
      </c>
      <c r="D14" s="64" t="s">
        <v>836</v>
      </c>
      <c r="E14" s="64" t="s">
        <v>837</v>
      </c>
      <c r="F14" s="64" t="s">
        <v>838</v>
      </c>
      <c r="G14" s="64" t="s">
        <v>839</v>
      </c>
      <c r="H14" s="64" t="s">
        <v>840</v>
      </c>
      <c r="I14" s="64" t="s">
        <v>841</v>
      </c>
      <c r="J14" s="65" t="s">
        <v>842</v>
      </c>
      <c r="K14" s="65" t="s">
        <v>843</v>
      </c>
      <c r="L14" s="65" t="s">
        <v>844</v>
      </c>
      <c r="M14" s="65" t="s">
        <v>845</v>
      </c>
      <c r="N14" s="65" t="s">
        <v>846</v>
      </c>
      <c r="O14" s="65" t="s">
        <v>847</v>
      </c>
      <c r="P14" s="65" t="s">
        <v>848</v>
      </c>
    </row>
    <row r="15" spans="1:18" x14ac:dyDescent="0.25">
      <c r="B15" s="37" t="s">
        <v>849</v>
      </c>
      <c r="C15" s="64"/>
      <c r="D15" s="64"/>
      <c r="E15" s="64"/>
      <c r="F15" s="64"/>
      <c r="G15" s="64"/>
      <c r="H15" s="64"/>
      <c r="I15" s="64"/>
      <c r="J15" s="65"/>
      <c r="K15" s="65"/>
      <c r="L15" s="65"/>
      <c r="M15" s="65"/>
      <c r="N15" s="65"/>
      <c r="O15" s="65"/>
      <c r="P15" s="65"/>
    </row>
    <row r="16" spans="1:18" x14ac:dyDescent="0.25">
      <c r="B16" s="37" t="s">
        <v>789</v>
      </c>
      <c r="C16" s="64">
        <v>10.86</v>
      </c>
      <c r="D16" s="64">
        <v>7.11</v>
      </c>
      <c r="E16" s="64">
        <v>4.4800000000000004</v>
      </c>
      <c r="F16" s="64">
        <v>3.51</v>
      </c>
      <c r="G16" s="64">
        <v>3.57</v>
      </c>
      <c r="H16" s="64">
        <v>5.64</v>
      </c>
      <c r="I16" s="64">
        <v>2.52</v>
      </c>
      <c r="J16" s="65">
        <v>7.8</v>
      </c>
      <c r="K16" s="65">
        <v>5.1100000000000003</v>
      </c>
      <c r="L16" s="65">
        <v>3.22</v>
      </c>
      <c r="M16" s="65">
        <v>2.52</v>
      </c>
      <c r="N16" s="65">
        <v>2.56</v>
      </c>
      <c r="O16" s="65">
        <v>4.05</v>
      </c>
      <c r="P16" s="65">
        <v>1.81</v>
      </c>
    </row>
    <row r="17" spans="2:16" x14ac:dyDescent="0.25">
      <c r="B17" s="37"/>
      <c r="C17" s="64" t="s">
        <v>850</v>
      </c>
      <c r="D17" s="64" t="s">
        <v>851</v>
      </c>
      <c r="E17" s="64" t="s">
        <v>852</v>
      </c>
      <c r="F17" s="64" t="s">
        <v>853</v>
      </c>
      <c r="G17" s="64" t="s">
        <v>854</v>
      </c>
      <c r="H17" s="64" t="s">
        <v>855</v>
      </c>
      <c r="I17" s="64" t="s">
        <v>856</v>
      </c>
      <c r="J17" s="65" t="s">
        <v>857</v>
      </c>
      <c r="K17" s="65" t="s">
        <v>858</v>
      </c>
      <c r="L17" s="65" t="s">
        <v>859</v>
      </c>
      <c r="M17" s="65" t="s">
        <v>860</v>
      </c>
      <c r="N17" s="65" t="s">
        <v>861</v>
      </c>
      <c r="O17" s="65" t="s">
        <v>862</v>
      </c>
      <c r="P17" s="65" t="s">
        <v>863</v>
      </c>
    </row>
    <row r="18" spans="2:16" x14ac:dyDescent="0.25">
      <c r="B18" s="37" t="s">
        <v>804</v>
      </c>
      <c r="C18" s="64">
        <v>7.88</v>
      </c>
      <c r="D18" s="64">
        <v>5.15</v>
      </c>
      <c r="E18" s="64">
        <v>3.25</v>
      </c>
      <c r="F18" s="64">
        <v>2.5499999999999998</v>
      </c>
      <c r="G18" s="64">
        <v>2.59</v>
      </c>
      <c r="H18" s="64">
        <v>4.09</v>
      </c>
      <c r="I18" s="64">
        <v>1.83</v>
      </c>
      <c r="J18" s="65">
        <v>5.66</v>
      </c>
      <c r="K18" s="65">
        <v>3.7</v>
      </c>
      <c r="L18" s="65">
        <v>2.33</v>
      </c>
      <c r="M18" s="65">
        <v>1.83</v>
      </c>
      <c r="N18" s="65">
        <v>1.86</v>
      </c>
      <c r="O18" s="65">
        <v>2.94</v>
      </c>
      <c r="P18" s="65">
        <v>1.31</v>
      </c>
    </row>
    <row r="19" spans="2:16" x14ac:dyDescent="0.25">
      <c r="B19" s="37"/>
      <c r="C19" s="64" t="s">
        <v>864</v>
      </c>
      <c r="D19" s="64" t="s">
        <v>865</v>
      </c>
      <c r="E19" s="64" t="s">
        <v>866</v>
      </c>
      <c r="F19" s="64" t="s">
        <v>867</v>
      </c>
      <c r="G19" s="64" t="s">
        <v>868</v>
      </c>
      <c r="H19" s="64" t="s">
        <v>869</v>
      </c>
      <c r="I19" s="64" t="s">
        <v>870</v>
      </c>
      <c r="J19" s="65" t="s">
        <v>871</v>
      </c>
      <c r="K19" s="65" t="s">
        <v>872</v>
      </c>
      <c r="L19" s="65" t="s">
        <v>873</v>
      </c>
      <c r="M19" s="65" t="s">
        <v>874</v>
      </c>
      <c r="N19" s="65" t="s">
        <v>875</v>
      </c>
      <c r="O19" s="65" t="s">
        <v>876</v>
      </c>
      <c r="P19" s="65" t="s">
        <v>877</v>
      </c>
    </row>
    <row r="20" spans="2:16" x14ac:dyDescent="0.25">
      <c r="B20" s="37" t="s">
        <v>819</v>
      </c>
      <c r="C20" s="64">
        <v>7.57</v>
      </c>
      <c r="D20" s="64">
        <v>4.96</v>
      </c>
      <c r="E20" s="64">
        <v>3.12</v>
      </c>
      <c r="F20" s="64">
        <v>2.4500000000000002</v>
      </c>
      <c r="G20" s="64">
        <v>2.4900000000000002</v>
      </c>
      <c r="H20" s="64">
        <v>3.93</v>
      </c>
      <c r="I20" s="64">
        <v>1.76</v>
      </c>
      <c r="J20" s="65">
        <v>5.44</v>
      </c>
      <c r="K20" s="65">
        <v>3.56</v>
      </c>
      <c r="L20" s="65">
        <v>2.2400000000000002</v>
      </c>
      <c r="M20" s="65">
        <v>1.76</v>
      </c>
      <c r="N20" s="65">
        <v>1.79</v>
      </c>
      <c r="O20" s="65">
        <v>2.82</v>
      </c>
      <c r="P20" s="65">
        <v>1.26</v>
      </c>
    </row>
    <row r="21" spans="2:16" x14ac:dyDescent="0.25">
      <c r="B21" s="37"/>
      <c r="C21" s="64" t="s">
        <v>878</v>
      </c>
      <c r="D21" s="64" t="s">
        <v>879</v>
      </c>
      <c r="E21" s="64" t="s">
        <v>880</v>
      </c>
      <c r="F21" s="64" t="s">
        <v>881</v>
      </c>
      <c r="G21" s="64" t="s">
        <v>882</v>
      </c>
      <c r="H21" s="64" t="s">
        <v>883</v>
      </c>
      <c r="I21" s="64" t="s">
        <v>884</v>
      </c>
      <c r="J21" s="65" t="s">
        <v>885</v>
      </c>
      <c r="K21" s="65" t="s">
        <v>886</v>
      </c>
      <c r="L21" s="65" t="s">
        <v>887</v>
      </c>
      <c r="M21" s="65" t="s">
        <v>888</v>
      </c>
      <c r="N21" s="65" t="s">
        <v>889</v>
      </c>
      <c r="O21" s="65" t="s">
        <v>890</v>
      </c>
      <c r="P21" s="65" t="s">
        <v>891</v>
      </c>
    </row>
    <row r="22" spans="2:16" x14ac:dyDescent="0.25">
      <c r="B22" s="37" t="s">
        <v>834</v>
      </c>
      <c r="C22" s="64">
        <v>8.9600000000000009</v>
      </c>
      <c r="D22" s="64">
        <v>5.86</v>
      </c>
      <c r="E22" s="64">
        <v>3.69</v>
      </c>
      <c r="F22" s="64">
        <v>2.9</v>
      </c>
      <c r="G22" s="64">
        <v>2.94</v>
      </c>
      <c r="H22" s="64">
        <v>4.6500000000000004</v>
      </c>
      <c r="I22" s="64">
        <v>2.08</v>
      </c>
      <c r="J22" s="65">
        <v>6.43</v>
      </c>
      <c r="K22" s="65">
        <v>4.21</v>
      </c>
      <c r="L22" s="65">
        <v>2.65</v>
      </c>
      <c r="M22" s="65">
        <v>2.08</v>
      </c>
      <c r="N22" s="65">
        <v>2.11</v>
      </c>
      <c r="O22" s="65">
        <v>3.34</v>
      </c>
      <c r="P22" s="65">
        <v>1.49</v>
      </c>
    </row>
    <row r="23" spans="2:16" x14ac:dyDescent="0.25">
      <c r="B23" s="37"/>
      <c r="C23" s="64" t="s">
        <v>892</v>
      </c>
      <c r="D23" s="64" t="s">
        <v>893</v>
      </c>
      <c r="E23" s="64" t="s">
        <v>894</v>
      </c>
      <c r="F23" s="64" t="s">
        <v>895</v>
      </c>
      <c r="G23" s="64" t="s">
        <v>896</v>
      </c>
      <c r="H23" s="64" t="s">
        <v>897</v>
      </c>
      <c r="I23" s="64" t="s">
        <v>898</v>
      </c>
      <c r="J23" s="65" t="s">
        <v>899</v>
      </c>
      <c r="K23" s="65" t="s">
        <v>900</v>
      </c>
      <c r="L23" s="65" t="s">
        <v>901</v>
      </c>
      <c r="M23" s="65" t="s">
        <v>902</v>
      </c>
      <c r="N23" s="65" t="s">
        <v>903</v>
      </c>
      <c r="O23" s="65" t="s">
        <v>904</v>
      </c>
      <c r="P23" s="65" t="s">
        <v>905</v>
      </c>
    </row>
    <row r="24" spans="2:16" x14ac:dyDescent="0.25">
      <c r="B24" s="37" t="s">
        <v>906</v>
      </c>
      <c r="C24" s="64"/>
      <c r="D24" s="64"/>
      <c r="E24" s="64"/>
      <c r="F24" s="64"/>
      <c r="G24" s="64"/>
      <c r="H24" s="64"/>
      <c r="I24" s="64"/>
      <c r="J24" s="65"/>
      <c r="K24" s="65"/>
      <c r="L24" s="65"/>
      <c r="M24" s="65"/>
      <c r="N24" s="65"/>
      <c r="O24" s="65"/>
      <c r="P24" s="65"/>
    </row>
    <row r="25" spans="2:16" x14ac:dyDescent="0.25">
      <c r="B25" s="37" t="s">
        <v>789</v>
      </c>
      <c r="C25" s="64">
        <v>5.83</v>
      </c>
      <c r="D25" s="64">
        <v>3.82</v>
      </c>
      <c r="E25" s="64" t="s">
        <v>909</v>
      </c>
      <c r="F25" s="64">
        <v>1.89</v>
      </c>
      <c r="G25" s="64">
        <v>1.91</v>
      </c>
      <c r="H25" s="64">
        <v>3.03</v>
      </c>
      <c r="I25" s="64">
        <v>1.35</v>
      </c>
      <c r="J25" s="65">
        <v>4.1900000000000004</v>
      </c>
      <c r="K25" s="65">
        <v>2.74</v>
      </c>
      <c r="L25" s="65">
        <v>1.73</v>
      </c>
      <c r="M25" s="65">
        <v>1.35</v>
      </c>
      <c r="N25" s="65">
        <v>1.38</v>
      </c>
      <c r="O25" s="65">
        <v>2.17</v>
      </c>
      <c r="P25" s="65">
        <v>0.97</v>
      </c>
    </row>
    <row r="26" spans="2:16" x14ac:dyDescent="0.25">
      <c r="B26" s="37"/>
      <c r="C26" s="64" t="s">
        <v>907</v>
      </c>
      <c r="D26" s="64" t="s">
        <v>908</v>
      </c>
      <c r="E26" s="64"/>
      <c r="F26" s="64" t="s">
        <v>910</v>
      </c>
      <c r="G26" s="64" t="s">
        <v>911</v>
      </c>
      <c r="H26" s="64" t="s">
        <v>912</v>
      </c>
      <c r="I26" s="64" t="s">
        <v>913</v>
      </c>
      <c r="J26" s="65" t="s">
        <v>914</v>
      </c>
      <c r="K26" s="65" t="s">
        <v>915</v>
      </c>
      <c r="L26" s="65" t="s">
        <v>916</v>
      </c>
      <c r="M26" s="65" t="s">
        <v>917</v>
      </c>
      <c r="N26" s="65" t="s">
        <v>918</v>
      </c>
      <c r="O26" s="65" t="s">
        <v>919</v>
      </c>
      <c r="P26" s="65" t="s">
        <v>920</v>
      </c>
    </row>
    <row r="27" spans="2:16" x14ac:dyDescent="0.25">
      <c r="B27" s="37" t="s">
        <v>804</v>
      </c>
      <c r="C27" s="64">
        <v>4.2300000000000004</v>
      </c>
      <c r="D27" s="64">
        <v>2.77</v>
      </c>
      <c r="E27" s="64">
        <v>1.74</v>
      </c>
      <c r="F27" s="64">
        <v>1.37</v>
      </c>
      <c r="G27" s="64">
        <v>1.39</v>
      </c>
      <c r="H27" s="64">
        <v>2.2000000000000002</v>
      </c>
      <c r="I27" s="64">
        <v>0.98</v>
      </c>
      <c r="J27" s="65">
        <v>3.04</v>
      </c>
      <c r="K27" s="65">
        <v>1.99</v>
      </c>
      <c r="L27" s="65">
        <v>1.25</v>
      </c>
      <c r="M27" s="65">
        <v>0.98</v>
      </c>
      <c r="N27" s="65">
        <v>1</v>
      </c>
      <c r="O27" s="65">
        <v>1.58</v>
      </c>
      <c r="P27" s="65">
        <v>0.7</v>
      </c>
    </row>
    <row r="28" spans="2:16" x14ac:dyDescent="0.25">
      <c r="B28" s="37"/>
      <c r="C28" s="64" t="s">
        <v>921</v>
      </c>
      <c r="D28" s="64" t="s">
        <v>922</v>
      </c>
      <c r="E28" s="64" t="s">
        <v>923</v>
      </c>
      <c r="F28" s="64" t="s">
        <v>924</v>
      </c>
      <c r="G28" s="64" t="s">
        <v>925</v>
      </c>
      <c r="H28" s="64" t="s">
        <v>926</v>
      </c>
      <c r="I28" s="64" t="s">
        <v>927</v>
      </c>
      <c r="J28" s="65" t="s">
        <v>928</v>
      </c>
      <c r="K28" s="65" t="s">
        <v>929</v>
      </c>
      <c r="L28" s="65" t="s">
        <v>930</v>
      </c>
      <c r="M28" s="65" t="s">
        <v>931</v>
      </c>
      <c r="N28" s="65" t="s">
        <v>932</v>
      </c>
      <c r="O28" s="65" t="s">
        <v>933</v>
      </c>
      <c r="P28" s="65" t="s">
        <v>934</v>
      </c>
    </row>
    <row r="29" spans="2:16" x14ac:dyDescent="0.25">
      <c r="B29" s="37" t="s">
        <v>819</v>
      </c>
      <c r="C29" s="64">
        <v>4.07</v>
      </c>
      <c r="D29" s="64">
        <v>2.66</v>
      </c>
      <c r="E29" s="64">
        <v>1.68</v>
      </c>
      <c r="F29" s="64">
        <v>1.31</v>
      </c>
      <c r="G29" s="64">
        <v>1.33</v>
      </c>
      <c r="H29" s="64">
        <v>2.11</v>
      </c>
      <c r="I29" s="64">
        <v>0.94</v>
      </c>
      <c r="J29" s="65">
        <v>2.92</v>
      </c>
      <c r="K29" s="65">
        <v>1.91</v>
      </c>
      <c r="L29" s="65">
        <v>1.2</v>
      </c>
      <c r="M29" s="65">
        <v>0.94</v>
      </c>
      <c r="N29" s="65">
        <v>0.96</v>
      </c>
      <c r="O29" s="65">
        <v>1.52</v>
      </c>
      <c r="P29" s="65">
        <v>0.68</v>
      </c>
    </row>
    <row r="30" spans="2:16" x14ac:dyDescent="0.25">
      <c r="B30" s="37"/>
      <c r="C30" s="64" t="s">
        <v>935</v>
      </c>
      <c r="D30" s="64" t="s">
        <v>936</v>
      </c>
      <c r="E30" s="64" t="s">
        <v>937</v>
      </c>
      <c r="F30" s="64" t="s">
        <v>938</v>
      </c>
      <c r="G30" s="64" t="s">
        <v>939</v>
      </c>
      <c r="H30" s="64" t="s">
        <v>940</v>
      </c>
      <c r="I30" s="64" t="s">
        <v>941</v>
      </c>
      <c r="J30" s="65" t="s">
        <v>942</v>
      </c>
      <c r="K30" s="65" t="s">
        <v>943</v>
      </c>
      <c r="L30" s="65" t="s">
        <v>944</v>
      </c>
      <c r="M30" s="65" t="s">
        <v>945</v>
      </c>
      <c r="N30" s="65" t="s">
        <v>946</v>
      </c>
      <c r="O30" s="65" t="s">
        <v>947</v>
      </c>
      <c r="P30" s="65" t="s">
        <v>948</v>
      </c>
    </row>
    <row r="31" spans="2:16" x14ac:dyDescent="0.25">
      <c r="B31" s="37" t="s">
        <v>834</v>
      </c>
      <c r="C31" s="64">
        <v>4.8099999999999996</v>
      </c>
      <c r="D31" s="64">
        <v>3.15</v>
      </c>
      <c r="E31" s="64">
        <v>1.98</v>
      </c>
      <c r="F31" s="64">
        <v>1.55</v>
      </c>
      <c r="G31" s="64">
        <v>1.58</v>
      </c>
      <c r="H31" s="64">
        <v>2.5</v>
      </c>
      <c r="I31" s="64">
        <v>1.1100000000000001</v>
      </c>
      <c r="J31" s="65">
        <v>3.45</v>
      </c>
      <c r="K31" s="65">
        <v>2.2599999999999998</v>
      </c>
      <c r="L31" s="65">
        <v>1.42</v>
      </c>
      <c r="M31" s="65">
        <v>1.1200000000000001</v>
      </c>
      <c r="N31" s="65">
        <v>1.1299999999999999</v>
      </c>
      <c r="O31" s="65">
        <v>1.79</v>
      </c>
      <c r="P31" s="65">
        <v>0.8</v>
      </c>
    </row>
    <row r="32" spans="2:16" x14ac:dyDescent="0.25">
      <c r="B32" s="37"/>
      <c r="C32" s="64" t="s">
        <v>949</v>
      </c>
      <c r="D32" s="64" t="s">
        <v>950</v>
      </c>
      <c r="E32" s="64" t="s">
        <v>929</v>
      </c>
      <c r="F32" s="64" t="s">
        <v>951</v>
      </c>
      <c r="G32" s="64" t="s">
        <v>952</v>
      </c>
      <c r="H32" s="64" t="s">
        <v>953</v>
      </c>
      <c r="I32" s="64" t="s">
        <v>954</v>
      </c>
      <c r="J32" s="65" t="s">
        <v>955</v>
      </c>
      <c r="K32" s="65" t="s">
        <v>956</v>
      </c>
      <c r="L32" s="65" t="s">
        <v>957</v>
      </c>
      <c r="M32" s="65" t="s">
        <v>958</v>
      </c>
      <c r="N32" s="65" t="s">
        <v>959</v>
      </c>
      <c r="O32" s="65" t="s">
        <v>960</v>
      </c>
      <c r="P32" s="65" t="s">
        <v>961</v>
      </c>
    </row>
    <row r="34" spans="1:6" x14ac:dyDescent="0.25">
      <c r="B34" t="s">
        <v>1232</v>
      </c>
    </row>
    <row r="35" spans="1:6" x14ac:dyDescent="0.25">
      <c r="C35" t="s">
        <v>456</v>
      </c>
      <c r="D35" t="s">
        <v>455</v>
      </c>
      <c r="E35" t="s">
        <v>787</v>
      </c>
      <c r="F35" t="s">
        <v>672</v>
      </c>
    </row>
    <row r="36" spans="1:6" x14ac:dyDescent="0.25">
      <c r="B36" t="s">
        <v>155</v>
      </c>
      <c r="C36">
        <f>(E7+L7)/2/100</f>
        <v>9.0399999999999994E-2</v>
      </c>
      <c r="D36">
        <f>AVERAGE(F7,M7)/100</f>
        <v>5.7300000000000004E-2</v>
      </c>
      <c r="E36">
        <f>AVERAGE(H7,O7)/100</f>
        <v>5.244999999999999E-2</v>
      </c>
      <c r="F36">
        <f>AVERAGE(I7,P7)/100</f>
        <v>5.2150000000000002E-2</v>
      </c>
    </row>
    <row r="37" spans="1:6" x14ac:dyDescent="0.25">
      <c r="B37" t="s">
        <v>550</v>
      </c>
      <c r="C37">
        <f>AVERAGE(E9,L9)/100</f>
        <v>9.6349999999999991E-2</v>
      </c>
      <c r="D37">
        <f>AVERAGE(F9,M9)/100</f>
        <v>6.1099999999999995E-2</v>
      </c>
      <c r="E37">
        <f>AVERAGE(H9,O9)/100</f>
        <v>5.5899999999999998E-2</v>
      </c>
      <c r="F37">
        <f>AVERAGE(I9,P9)/100</f>
        <v>5.5600000000000004E-2</v>
      </c>
    </row>
    <row r="38" spans="1:6" x14ac:dyDescent="0.25">
      <c r="B38" t="s">
        <v>577</v>
      </c>
      <c r="C38">
        <f>AVERAGE(E11,L11)/100</f>
        <v>0.10795</v>
      </c>
      <c r="D38">
        <f>AVERAGE(F11,M11)/100</f>
        <v>6.8499999999999991E-2</v>
      </c>
      <c r="E38">
        <f>AVERAGE(H11,O11)/100</f>
        <v>6.2650000000000011E-2</v>
      </c>
      <c r="F38">
        <f>AVERAGE(I11,P11)/100</f>
        <v>6.2300000000000001E-2</v>
      </c>
    </row>
    <row r="39" spans="1:6" x14ac:dyDescent="0.25">
      <c r="B39" t="s">
        <v>964</v>
      </c>
      <c r="C39">
        <f>AVERAGE(E13,L13)/100</f>
        <v>0.14510000000000001</v>
      </c>
      <c r="D39">
        <f>AVERAGE(F13,M13)/100</f>
        <v>9.2050000000000007E-2</v>
      </c>
      <c r="E39">
        <f>AVERAGE(H13,O13)/100</f>
        <v>8.4199999999999997E-2</v>
      </c>
      <c r="F39">
        <f>AVERAGE(I13,P13)/100</f>
        <v>8.3700000000000011E-2</v>
      </c>
    </row>
    <row r="41" spans="1:6" x14ac:dyDescent="0.25">
      <c r="A41" s="2" t="s">
        <v>967</v>
      </c>
    </row>
    <row r="42" spans="1:6" x14ac:dyDescent="0.25">
      <c r="B42" t="s">
        <v>966</v>
      </c>
    </row>
    <row r="43" spans="1:6" x14ac:dyDescent="0.25">
      <c r="B43" t="s">
        <v>965</v>
      </c>
    </row>
    <row r="45" spans="1:6" x14ac:dyDescent="0.25">
      <c r="A45" s="2" t="s">
        <v>968</v>
      </c>
    </row>
    <row r="46" spans="1:6" x14ac:dyDescent="0.25">
      <c r="B46" t="s">
        <v>969</v>
      </c>
    </row>
    <row r="47" spans="1:6" x14ac:dyDescent="0.25">
      <c r="C47" t="s">
        <v>973</v>
      </c>
      <c r="D47" t="s">
        <v>974</v>
      </c>
      <c r="E47" t="s">
        <v>975</v>
      </c>
    </row>
    <row r="48" spans="1:6" x14ac:dyDescent="0.25">
      <c r="B48" t="s">
        <v>536</v>
      </c>
      <c r="C48">
        <f>18.8/1000</f>
        <v>1.8800000000000001E-2</v>
      </c>
      <c r="D48">
        <v>0.185</v>
      </c>
      <c r="E48">
        <f>D48*C48</f>
        <v>3.4780000000000002E-3</v>
      </c>
    </row>
    <row r="49" spans="1:8" x14ac:dyDescent="0.25">
      <c r="B49" t="s">
        <v>970</v>
      </c>
      <c r="C49">
        <f>32.68/1000</f>
        <v>3.2680000000000001E-2</v>
      </c>
      <c r="D49">
        <v>0.25679999999999997</v>
      </c>
      <c r="E49">
        <f>D49*C49</f>
        <v>8.3922239999999985E-3</v>
      </c>
    </row>
    <row r="50" spans="1:8" x14ac:dyDescent="0.25">
      <c r="B50" t="s">
        <v>971</v>
      </c>
      <c r="C50">
        <f>44.06/1000</f>
        <v>4.4060000000000002E-2</v>
      </c>
      <c r="D50">
        <v>0.1125</v>
      </c>
      <c r="E50">
        <f>D50*C50</f>
        <v>4.9567500000000002E-3</v>
      </c>
    </row>
    <row r="51" spans="1:8" x14ac:dyDescent="0.25">
      <c r="B51" t="s">
        <v>972</v>
      </c>
      <c r="C51">
        <f>50.18/1000</f>
        <v>5.0180000000000002E-2</v>
      </c>
      <c r="D51">
        <v>2.5999999999999999E-2</v>
      </c>
      <c r="E51">
        <f>D51*C51</f>
        <v>1.3046799999999999E-3</v>
      </c>
    </row>
    <row r="52" spans="1:8" x14ac:dyDescent="0.25">
      <c r="B52" t="s">
        <v>328</v>
      </c>
      <c r="C52">
        <f>152.82/1000</f>
        <v>0.15281999999999998</v>
      </c>
    </row>
    <row r="61" spans="1:8" x14ac:dyDescent="0.25">
      <c r="A61" s="2" t="s">
        <v>976</v>
      </c>
    </row>
    <row r="62" spans="1:8" x14ac:dyDescent="0.25">
      <c r="B62" t="s">
        <v>1013</v>
      </c>
    </row>
    <row r="63" spans="1:8" x14ac:dyDescent="0.25">
      <c r="B63" t="s">
        <v>472</v>
      </c>
      <c r="C63" t="s">
        <v>994</v>
      </c>
      <c r="D63" t="s">
        <v>995</v>
      </c>
    </row>
    <row r="64" spans="1:8" x14ac:dyDescent="0.25">
      <c r="A64" t="s">
        <v>989</v>
      </c>
      <c r="B64">
        <v>7.47</v>
      </c>
      <c r="C64">
        <v>4.67</v>
      </c>
      <c r="D64">
        <v>1.8</v>
      </c>
      <c r="F64">
        <f t="shared" ref="F64:H69" si="0">B64/1000</f>
        <v>7.4700000000000001E-3</v>
      </c>
      <c r="G64" s="37">
        <f t="shared" si="0"/>
        <v>4.6699999999999997E-3</v>
      </c>
      <c r="H64" s="37">
        <f t="shared" si="0"/>
        <v>1.8E-3</v>
      </c>
    </row>
    <row r="65" spans="1:11" x14ac:dyDescent="0.25">
      <c r="A65" s="35" t="s">
        <v>990</v>
      </c>
      <c r="B65">
        <v>5.4</v>
      </c>
      <c r="C65">
        <v>1.3</v>
      </c>
      <c r="D65">
        <v>0.48</v>
      </c>
      <c r="F65" s="37">
        <f t="shared" si="0"/>
        <v>5.4000000000000003E-3</v>
      </c>
      <c r="G65" s="37">
        <f t="shared" si="0"/>
        <v>1.2999999999999999E-3</v>
      </c>
      <c r="H65" s="37">
        <f t="shared" si="0"/>
        <v>4.7999999999999996E-4</v>
      </c>
    </row>
    <row r="66" spans="1:11" x14ac:dyDescent="0.25">
      <c r="A66" s="40" t="s">
        <v>977</v>
      </c>
      <c r="B66">
        <v>0.4</v>
      </c>
      <c r="C66">
        <v>0.17</v>
      </c>
      <c r="D66">
        <v>0.2</v>
      </c>
      <c r="F66" s="37">
        <f t="shared" si="0"/>
        <v>4.0000000000000002E-4</v>
      </c>
      <c r="G66" s="37">
        <f t="shared" si="0"/>
        <v>1.7000000000000001E-4</v>
      </c>
      <c r="H66" s="37">
        <f t="shared" si="0"/>
        <v>2.0000000000000001E-4</v>
      </c>
    </row>
    <row r="67" spans="1:11" x14ac:dyDescent="0.25">
      <c r="A67" s="40" t="s">
        <v>991</v>
      </c>
      <c r="B67">
        <v>3.65</v>
      </c>
      <c r="C67">
        <v>0.93</v>
      </c>
      <c r="D67">
        <v>0.65</v>
      </c>
      <c r="F67" s="37">
        <f t="shared" si="0"/>
        <v>3.65E-3</v>
      </c>
      <c r="G67" s="37">
        <f t="shared" si="0"/>
        <v>9.3000000000000005E-4</v>
      </c>
      <c r="H67" s="37">
        <f t="shared" si="0"/>
        <v>6.4999999999999997E-4</v>
      </c>
    </row>
    <row r="68" spans="1:11" x14ac:dyDescent="0.25">
      <c r="A68" s="40" t="s">
        <v>992</v>
      </c>
      <c r="B68">
        <v>4.5599999999999996</v>
      </c>
      <c r="C68">
        <v>1.79</v>
      </c>
      <c r="D68">
        <v>1.52</v>
      </c>
      <c r="F68" s="37">
        <f t="shared" si="0"/>
        <v>4.5599999999999998E-3</v>
      </c>
      <c r="G68" s="37">
        <f t="shared" si="0"/>
        <v>1.7900000000000001E-3</v>
      </c>
      <c r="H68" s="37">
        <f t="shared" si="0"/>
        <v>1.5200000000000001E-3</v>
      </c>
    </row>
    <row r="69" spans="1:11" x14ac:dyDescent="0.25">
      <c r="A69" s="40" t="s">
        <v>993</v>
      </c>
      <c r="B69">
        <v>1.98</v>
      </c>
      <c r="C69">
        <v>0.77</v>
      </c>
      <c r="D69">
        <v>1.54</v>
      </c>
      <c r="F69" s="37">
        <f t="shared" si="0"/>
        <v>1.98E-3</v>
      </c>
      <c r="G69" s="37">
        <f t="shared" si="0"/>
        <v>7.7000000000000007E-4</v>
      </c>
      <c r="H69" s="37">
        <f t="shared" si="0"/>
        <v>1.5400000000000001E-3</v>
      </c>
    </row>
    <row r="71" spans="1:11" x14ac:dyDescent="0.25">
      <c r="A71" s="2" t="s">
        <v>1233</v>
      </c>
    </row>
    <row r="72" spans="1:11" x14ac:dyDescent="0.25">
      <c r="B72" t="s">
        <v>1238</v>
      </c>
    </row>
    <row r="73" spans="1:11" x14ac:dyDescent="0.25">
      <c r="C73" t="s">
        <v>1239</v>
      </c>
    </row>
    <row r="74" spans="1:11" x14ac:dyDescent="0.25">
      <c r="B74" t="s">
        <v>196</v>
      </c>
      <c r="C74" t="s">
        <v>561</v>
      </c>
      <c r="D74" t="s">
        <v>1234</v>
      </c>
      <c r="E74" t="s">
        <v>1235</v>
      </c>
      <c r="F74" t="s">
        <v>1236</v>
      </c>
      <c r="I74" t="s">
        <v>1237</v>
      </c>
      <c r="J74" t="s">
        <v>1240</v>
      </c>
    </row>
    <row r="75" spans="1:11" x14ac:dyDescent="0.25">
      <c r="B75">
        <v>2011</v>
      </c>
      <c r="C75">
        <v>5.2</v>
      </c>
      <c r="D75">
        <v>21.9</v>
      </c>
      <c r="E75">
        <v>30.5</v>
      </c>
      <c r="F75">
        <v>34.6</v>
      </c>
      <c r="I75" s="8">
        <f>D75/C75</f>
        <v>4.2115384615384608</v>
      </c>
      <c r="J75">
        <f>(D75-C75)/1000</f>
        <v>1.67E-2</v>
      </c>
    </row>
    <row r="76" spans="1:11" x14ac:dyDescent="0.25">
      <c r="B76" s="37">
        <v>2012</v>
      </c>
      <c r="C76">
        <v>6.8</v>
      </c>
      <c r="D76" s="8">
        <v>16</v>
      </c>
      <c r="E76">
        <v>26.9</v>
      </c>
      <c r="F76">
        <v>33.799999999999997</v>
      </c>
      <c r="I76" s="8">
        <f t="shared" ref="I76:I81" si="1">D76/C76</f>
        <v>2.3529411764705883</v>
      </c>
      <c r="J76" s="37">
        <f t="shared" ref="J76:J81" si="2">(D76-C76)/1000</f>
        <v>9.1999999999999998E-3</v>
      </c>
      <c r="K76" s="37"/>
    </row>
    <row r="77" spans="1:11" x14ac:dyDescent="0.25">
      <c r="B77" s="37">
        <v>2013</v>
      </c>
      <c r="C77">
        <v>5.3</v>
      </c>
      <c r="D77">
        <v>14.3</v>
      </c>
      <c r="E77">
        <v>22.3</v>
      </c>
      <c r="F77">
        <v>28.6</v>
      </c>
      <c r="I77" s="8">
        <f t="shared" si="1"/>
        <v>2.6981132075471699</v>
      </c>
      <c r="J77" s="37">
        <f t="shared" si="2"/>
        <v>8.9999999999999993E-3</v>
      </c>
      <c r="K77" s="37"/>
    </row>
    <row r="78" spans="1:11" x14ac:dyDescent="0.25">
      <c r="B78" s="37">
        <v>2014</v>
      </c>
      <c r="C78">
        <v>6.4</v>
      </c>
      <c r="D78">
        <v>15.8</v>
      </c>
      <c r="E78">
        <v>21.7</v>
      </c>
      <c r="F78">
        <v>27.2</v>
      </c>
      <c r="I78" s="8">
        <f t="shared" si="1"/>
        <v>2.46875</v>
      </c>
      <c r="J78" s="37">
        <f t="shared" si="2"/>
        <v>9.4000000000000004E-3</v>
      </c>
      <c r="K78" s="37"/>
    </row>
    <row r="79" spans="1:11" x14ac:dyDescent="0.25">
      <c r="B79" s="37">
        <v>2015</v>
      </c>
      <c r="C79">
        <v>5.2</v>
      </c>
      <c r="D79">
        <v>15.2</v>
      </c>
      <c r="E79">
        <v>23.9</v>
      </c>
      <c r="F79">
        <v>33.299999999999997</v>
      </c>
      <c r="I79" s="8">
        <f t="shared" si="1"/>
        <v>2.9230769230769229</v>
      </c>
      <c r="J79" s="37">
        <f t="shared" si="2"/>
        <v>0.01</v>
      </c>
      <c r="K79" s="37"/>
    </row>
    <row r="80" spans="1:11" x14ac:dyDescent="0.25">
      <c r="B80" s="37">
        <v>2016</v>
      </c>
      <c r="C80">
        <v>5.4</v>
      </c>
      <c r="D80">
        <v>16.100000000000001</v>
      </c>
      <c r="E80">
        <v>15.9</v>
      </c>
      <c r="F80">
        <v>15.7</v>
      </c>
      <c r="I80" s="8">
        <f t="shared" si="1"/>
        <v>2.9814814814814814</v>
      </c>
      <c r="J80" s="37">
        <f t="shared" si="2"/>
        <v>1.0700000000000001E-2</v>
      </c>
      <c r="K80" s="37"/>
    </row>
    <row r="81" spans="2:11" x14ac:dyDescent="0.25">
      <c r="B81" t="s">
        <v>645</v>
      </c>
      <c r="C81">
        <v>5.7</v>
      </c>
      <c r="D81">
        <v>16.3</v>
      </c>
      <c r="E81" s="8">
        <v>24</v>
      </c>
      <c r="F81">
        <v>30.1</v>
      </c>
      <c r="I81" s="8">
        <f t="shared" si="1"/>
        <v>2.8596491228070176</v>
      </c>
      <c r="J81" s="37">
        <f t="shared" si="2"/>
        <v>1.0600000000000002E-2</v>
      </c>
      <c r="K81" s="37"/>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G19" sqref="G19"/>
    </sheetView>
  </sheetViews>
  <sheetFormatPr defaultRowHeight="15" x14ac:dyDescent="0.25"/>
  <sheetData>
    <row r="1" spans="1:9" x14ac:dyDescent="0.25">
      <c r="A1" s="2" t="s">
        <v>136</v>
      </c>
    </row>
    <row r="3" spans="1:9" x14ac:dyDescent="0.25">
      <c r="C3" t="s">
        <v>167</v>
      </c>
    </row>
    <row r="4" spans="1:9" x14ac:dyDescent="0.25">
      <c r="B4" t="s">
        <v>80</v>
      </c>
      <c r="C4" t="s">
        <v>166</v>
      </c>
    </row>
    <row r="5" spans="1:9" x14ac:dyDescent="0.25">
      <c r="B5" t="s">
        <v>155</v>
      </c>
      <c r="C5" s="8">
        <v>71.002132196162052</v>
      </c>
      <c r="F5" s="4"/>
      <c r="I5" s="5"/>
    </row>
    <row r="6" spans="1:9" x14ac:dyDescent="0.25">
      <c r="B6" t="s">
        <v>137</v>
      </c>
      <c r="C6" s="8">
        <v>68.443496801705763</v>
      </c>
      <c r="I6" s="5"/>
    </row>
    <row r="7" spans="1:9" x14ac:dyDescent="0.25">
      <c r="B7" t="s">
        <v>138</v>
      </c>
      <c r="C7" s="8">
        <v>71.748400852878461</v>
      </c>
      <c r="F7" s="4"/>
      <c r="I7" s="5"/>
    </row>
    <row r="8" spans="1:9" x14ac:dyDescent="0.25">
      <c r="B8" t="s">
        <v>139</v>
      </c>
      <c r="C8" s="8">
        <v>72.542735042735046</v>
      </c>
      <c r="F8" s="4"/>
      <c r="I8" s="5"/>
    </row>
    <row r="9" spans="1:9" x14ac:dyDescent="0.25">
      <c r="B9" t="s">
        <v>156</v>
      </c>
      <c r="C9" s="8">
        <v>73.253275109170303</v>
      </c>
      <c r="F9" s="4"/>
      <c r="I9" s="5"/>
    </row>
    <row r="10" spans="1:9" x14ac:dyDescent="0.25">
      <c r="B10" t="s">
        <v>157</v>
      </c>
      <c r="C10" s="8">
        <v>70.11363636363636</v>
      </c>
      <c r="I10" s="5"/>
    </row>
    <row r="11" spans="1:9" x14ac:dyDescent="0.25">
      <c r="B11" t="s">
        <v>144</v>
      </c>
      <c r="C11" s="9">
        <v>62.15</v>
      </c>
    </row>
    <row r="12" spans="1:9" x14ac:dyDescent="0.25">
      <c r="B12" t="s">
        <v>158</v>
      </c>
      <c r="C12" s="8">
        <v>74.221199999999996</v>
      </c>
    </row>
    <row r="14" spans="1:9" x14ac:dyDescent="0.25">
      <c r="A14" s="2" t="s">
        <v>390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4"/>
  <sheetViews>
    <sheetView topLeftCell="A172" workbookViewId="0">
      <selection activeCell="A196" sqref="A196"/>
    </sheetView>
  </sheetViews>
  <sheetFormatPr defaultRowHeight="15" x14ac:dyDescent="0.25"/>
  <cols>
    <col min="2" max="2" width="10.140625" customWidth="1"/>
    <col min="3" max="3" width="16.7109375" customWidth="1"/>
    <col min="6" max="6" width="10.140625" bestFit="1" customWidth="1"/>
  </cols>
  <sheetData>
    <row r="1" spans="1:16" x14ac:dyDescent="0.25">
      <c r="A1" s="2" t="s">
        <v>532</v>
      </c>
      <c r="F1" s="21"/>
      <c r="G1" s="4"/>
      <c r="H1" s="4"/>
      <c r="K1" s="4"/>
      <c r="L1" s="4"/>
    </row>
    <row r="2" spans="1:16" x14ac:dyDescent="0.25">
      <c r="B2" t="s">
        <v>533</v>
      </c>
      <c r="F2" s="21"/>
      <c r="G2" s="4"/>
      <c r="H2" s="4"/>
      <c r="K2" s="4"/>
      <c r="L2" s="4"/>
    </row>
    <row r="3" spans="1:16" s="37" customFormat="1" x14ac:dyDescent="0.25">
      <c r="B3" s="37" t="s">
        <v>153</v>
      </c>
      <c r="C3" s="12">
        <v>0.40600000000000003</v>
      </c>
      <c r="G3" s="4"/>
      <c r="H3" s="4"/>
      <c r="K3" s="4"/>
      <c r="L3" s="4"/>
    </row>
    <row r="4" spans="1:16" x14ac:dyDescent="0.25">
      <c r="B4" t="s">
        <v>179</v>
      </c>
      <c r="C4" s="12">
        <v>0.45600000000000002</v>
      </c>
      <c r="F4" s="21"/>
      <c r="G4" s="4"/>
      <c r="H4" s="4"/>
      <c r="K4" s="4"/>
      <c r="L4" s="4"/>
    </row>
    <row r="5" spans="1:16" s="37" customFormat="1" x14ac:dyDescent="0.25">
      <c r="B5" s="37" t="s">
        <v>1123</v>
      </c>
      <c r="C5" s="12"/>
      <c r="G5" s="4"/>
      <c r="H5" s="4"/>
      <c r="K5" s="4"/>
      <c r="L5" s="4"/>
    </row>
    <row r="6" spans="1:16" s="37" customFormat="1" x14ac:dyDescent="0.25">
      <c r="B6" s="37" t="s">
        <v>153</v>
      </c>
      <c r="C6" s="12">
        <v>9.7000000000000003E-2</v>
      </c>
      <c r="G6" s="4"/>
      <c r="H6" s="4"/>
      <c r="K6" s="4"/>
      <c r="L6" s="4"/>
    </row>
    <row r="7" spans="1:16" s="37" customFormat="1" x14ac:dyDescent="0.25"/>
    <row r="8" spans="1:16" x14ac:dyDescent="0.25">
      <c r="A8" s="2" t="s">
        <v>402</v>
      </c>
    </row>
    <row r="9" spans="1:16" x14ac:dyDescent="0.25">
      <c r="B9" t="s">
        <v>422</v>
      </c>
    </row>
    <row r="10" spans="1:16" x14ac:dyDescent="0.25">
      <c r="B10" t="s">
        <v>421</v>
      </c>
      <c r="C10" s="18">
        <v>0.79400000000000004</v>
      </c>
      <c r="P10" t="s">
        <v>439</v>
      </c>
    </row>
    <row r="11" spans="1:16" x14ac:dyDescent="0.25">
      <c r="B11" t="s">
        <v>423</v>
      </c>
      <c r="C11" s="18">
        <v>6.0999999999999999E-2</v>
      </c>
      <c r="P11" t="s">
        <v>440</v>
      </c>
    </row>
    <row r="12" spans="1:16" x14ac:dyDescent="0.25">
      <c r="B12" t="s">
        <v>424</v>
      </c>
      <c r="C12" s="18">
        <v>0.14499999999999999</v>
      </c>
      <c r="P12" t="s">
        <v>441</v>
      </c>
    </row>
    <row r="14" spans="1:16" x14ac:dyDescent="0.25">
      <c r="B14" t="s">
        <v>433</v>
      </c>
      <c r="H14" t="s">
        <v>1100</v>
      </c>
    </row>
    <row r="15" spans="1:16" x14ac:dyDescent="0.25">
      <c r="B15" t="s">
        <v>153</v>
      </c>
      <c r="C15" t="s">
        <v>436</v>
      </c>
      <c r="D15" t="s">
        <v>435</v>
      </c>
      <c r="E15" t="s">
        <v>437</v>
      </c>
      <c r="H15" t="s">
        <v>1101</v>
      </c>
    </row>
    <row r="16" spans="1:16" x14ac:dyDescent="0.25">
      <c r="B16" t="s">
        <v>434</v>
      </c>
      <c r="C16" s="18">
        <v>0.60499999999999998</v>
      </c>
      <c r="D16" s="18">
        <v>0.28399999999999997</v>
      </c>
      <c r="E16" s="18">
        <v>0.111</v>
      </c>
      <c r="H16" t="s">
        <v>1095</v>
      </c>
      <c r="I16">
        <v>329000</v>
      </c>
      <c r="J16" s="12"/>
    </row>
    <row r="17" spans="1:9" x14ac:dyDescent="0.25">
      <c r="B17" t="s">
        <v>438</v>
      </c>
      <c r="C17" s="18">
        <v>0.45900000000000002</v>
      </c>
      <c r="D17" s="18">
        <v>0.39300000000000002</v>
      </c>
      <c r="E17" s="18">
        <v>0.14799999999999999</v>
      </c>
      <c r="H17" t="s">
        <v>1096</v>
      </c>
      <c r="I17">
        <v>157000</v>
      </c>
    </row>
    <row r="18" spans="1:9" x14ac:dyDescent="0.25">
      <c r="H18" t="s">
        <v>1097</v>
      </c>
      <c r="I18">
        <f>I17/I16</f>
        <v>0.47720364741641336</v>
      </c>
    </row>
    <row r="19" spans="1:9" x14ac:dyDescent="0.25">
      <c r="B19" t="s">
        <v>1089</v>
      </c>
      <c r="H19" t="s">
        <v>1098</v>
      </c>
      <c r="I19">
        <v>122000</v>
      </c>
    </row>
    <row r="20" spans="1:9" x14ac:dyDescent="0.25">
      <c r="B20" t="s">
        <v>442</v>
      </c>
      <c r="C20" s="18">
        <v>0.754</v>
      </c>
      <c r="H20" t="s">
        <v>1099</v>
      </c>
      <c r="I20">
        <f>I19/I17</f>
        <v>0.77707006369426757</v>
      </c>
    </row>
    <row r="21" spans="1:9" x14ac:dyDescent="0.25">
      <c r="B21" t="s">
        <v>443</v>
      </c>
      <c r="C21" s="18">
        <v>0.246</v>
      </c>
    </row>
    <row r="23" spans="1:9" s="37" customFormat="1" x14ac:dyDescent="0.25">
      <c r="C23" s="18"/>
    </row>
    <row r="24" spans="1:9" s="37" customFormat="1" x14ac:dyDescent="0.25">
      <c r="A24" s="2" t="s">
        <v>1124</v>
      </c>
      <c r="C24" s="18"/>
    </row>
    <row r="25" spans="1:9" s="37" customFormat="1" x14ac:dyDescent="0.25">
      <c r="B25" s="37" t="s">
        <v>1173</v>
      </c>
      <c r="C25" s="18" t="s">
        <v>1125</v>
      </c>
      <c r="D25" s="37" t="s">
        <v>1126</v>
      </c>
      <c r="E25" s="37" t="s">
        <v>1127</v>
      </c>
      <c r="F25" s="37" t="s">
        <v>1174</v>
      </c>
      <c r="G25" s="18" t="s">
        <v>1125</v>
      </c>
      <c r="H25" s="37" t="s">
        <v>1175</v>
      </c>
      <c r="I25" s="37" t="s">
        <v>1127</v>
      </c>
    </row>
    <row r="26" spans="1:9" s="37" customFormat="1" x14ac:dyDescent="0.25">
      <c r="B26" s="37">
        <v>2008</v>
      </c>
      <c r="C26" s="16">
        <v>237881</v>
      </c>
      <c r="F26" s="37">
        <v>2008</v>
      </c>
      <c r="G26" s="4">
        <v>230059</v>
      </c>
    </row>
    <row r="27" spans="1:9" s="37" customFormat="1" x14ac:dyDescent="0.25">
      <c r="B27" s="37">
        <v>2009</v>
      </c>
      <c r="C27" s="16">
        <v>336980</v>
      </c>
      <c r="D27" s="4">
        <v>1462629</v>
      </c>
      <c r="E27" s="7">
        <f>C27/D27*100</f>
        <v>23.03933533384064</v>
      </c>
      <c r="F27" s="37">
        <v>2009</v>
      </c>
      <c r="G27" s="4">
        <v>315558</v>
      </c>
      <c r="H27" s="4">
        <v>1220112</v>
      </c>
      <c r="I27" s="7">
        <f>G27/H27*100</f>
        <v>25.863035524607575</v>
      </c>
    </row>
    <row r="28" spans="1:9" s="37" customFormat="1" x14ac:dyDescent="0.25">
      <c r="B28" s="37">
        <v>2010</v>
      </c>
      <c r="C28" s="16">
        <v>468717</v>
      </c>
      <c r="D28" s="4">
        <v>1493165</v>
      </c>
      <c r="E28" s="7">
        <f>C28/D28*100</f>
        <v>31.39083758325436</v>
      </c>
      <c r="F28" s="37">
        <v>2010</v>
      </c>
      <c r="G28" s="4">
        <v>396525</v>
      </c>
      <c r="H28" s="4">
        <v>1262116</v>
      </c>
      <c r="I28" s="7">
        <f>G28/H28*100</f>
        <v>31.417476682016549</v>
      </c>
    </row>
    <row r="29" spans="1:9" s="37" customFormat="1" x14ac:dyDescent="0.25">
      <c r="B29" s="37">
        <v>2011</v>
      </c>
      <c r="C29" s="16">
        <v>538983</v>
      </c>
      <c r="D29" s="4">
        <v>1525851</v>
      </c>
      <c r="E29" s="7">
        <f>C29/D29*100</f>
        <v>35.323435905602842</v>
      </c>
      <c r="F29" s="37">
        <v>2011</v>
      </c>
      <c r="G29" s="4">
        <v>490437</v>
      </c>
      <c r="H29" s="4">
        <v>1310147</v>
      </c>
      <c r="I29" s="7">
        <f>G29/H29*100</f>
        <v>37.433738351497965</v>
      </c>
    </row>
    <row r="30" spans="1:9" s="37" customFormat="1" x14ac:dyDescent="0.25">
      <c r="B30" s="37">
        <v>2012</v>
      </c>
      <c r="C30" s="16">
        <v>604000</v>
      </c>
      <c r="D30" s="4">
        <v>1560446</v>
      </c>
      <c r="E30" s="7">
        <f>C30/D30*100</f>
        <v>38.706882519484815</v>
      </c>
      <c r="F30" s="37">
        <v>2012</v>
      </c>
      <c r="G30" s="4">
        <v>548561</v>
      </c>
      <c r="H30" s="4">
        <v>1356540</v>
      </c>
      <c r="I30" s="7">
        <f>G30/H30*100</f>
        <v>40.438247305645241</v>
      </c>
    </row>
    <row r="31" spans="1:9" s="37" customFormat="1" x14ac:dyDescent="0.25">
      <c r="B31" s="37">
        <v>2013</v>
      </c>
      <c r="C31" s="4">
        <v>656359</v>
      </c>
      <c r="D31" s="4">
        <v>1592342</v>
      </c>
      <c r="E31" s="7">
        <f>C31/D31*100</f>
        <v>41.219725410747188</v>
      </c>
      <c r="F31" s="37">
        <v>2013</v>
      </c>
      <c r="G31" s="4">
        <v>596228</v>
      </c>
      <c r="H31" s="4">
        <v>1402212</v>
      </c>
      <c r="I31" s="7">
        <f>G31/H31*100</f>
        <v>42.520531845398558</v>
      </c>
    </row>
    <row r="32" spans="1:9" s="37" customFormat="1" x14ac:dyDescent="0.25">
      <c r="C32" s="16"/>
    </row>
    <row r="33" spans="1:26" x14ac:dyDescent="0.25">
      <c r="A33" s="2" t="s">
        <v>470</v>
      </c>
      <c r="W33" s="37"/>
      <c r="X33" s="37"/>
      <c r="Y33" s="37"/>
      <c r="Z33" s="4"/>
    </row>
    <row r="34" spans="1:26" x14ac:dyDescent="0.25">
      <c r="C34" s="84">
        <v>2015</v>
      </c>
      <c r="D34" s="84"/>
      <c r="E34" s="84"/>
      <c r="F34" s="23">
        <v>2015</v>
      </c>
      <c r="G34" s="23"/>
      <c r="I34" s="23">
        <v>2013</v>
      </c>
      <c r="L34" s="23"/>
      <c r="M34" s="23"/>
      <c r="W34" s="37"/>
      <c r="X34" s="37"/>
      <c r="Y34" s="37"/>
      <c r="Z34" s="4"/>
    </row>
    <row r="35" spans="1:26" x14ac:dyDescent="0.25">
      <c r="C35" t="s">
        <v>475</v>
      </c>
      <c r="D35" t="s">
        <v>476</v>
      </c>
      <c r="E35" t="s">
        <v>477</v>
      </c>
      <c r="F35" s="21" t="s">
        <v>478</v>
      </c>
      <c r="G35" s="21" t="s">
        <v>1134</v>
      </c>
      <c r="I35" t="s">
        <v>1126</v>
      </c>
      <c r="J35" t="s">
        <v>478</v>
      </c>
      <c r="K35" t="s">
        <v>479</v>
      </c>
      <c r="L35" t="s">
        <v>1134</v>
      </c>
      <c r="M35" t="s">
        <v>1135</v>
      </c>
      <c r="V35" s="37"/>
      <c r="W35" s="37"/>
      <c r="X35" s="37"/>
      <c r="Y35" s="4"/>
    </row>
    <row r="36" spans="1:26" x14ac:dyDescent="0.25">
      <c r="B36" t="s">
        <v>471</v>
      </c>
      <c r="C36" s="4">
        <v>85807</v>
      </c>
      <c r="D36" s="4">
        <v>158077</v>
      </c>
      <c r="E36" s="7">
        <f t="shared" ref="E36:E42" si="0">C36/D36</f>
        <v>0.54281774072129407</v>
      </c>
      <c r="F36" s="4">
        <v>135039</v>
      </c>
      <c r="G36" s="7">
        <f t="shared" ref="G36:G42" si="1">C36/F36</f>
        <v>0.635423840520146</v>
      </c>
      <c r="J36" s="4">
        <v>86072</v>
      </c>
      <c r="K36" s="4">
        <v>56069</v>
      </c>
      <c r="L36" s="7">
        <f>K36/J36</f>
        <v>0.65141974161167393</v>
      </c>
      <c r="V36" s="37"/>
      <c r="W36" s="37"/>
      <c r="X36" s="37"/>
      <c r="Y36" s="4"/>
    </row>
    <row r="37" spans="1:26" x14ac:dyDescent="0.25">
      <c r="B37" t="s">
        <v>472</v>
      </c>
      <c r="C37" s="4">
        <v>83847</v>
      </c>
      <c r="D37" s="4">
        <v>144303</v>
      </c>
      <c r="E37" s="7">
        <f t="shared" si="0"/>
        <v>0.58104821105590321</v>
      </c>
      <c r="F37" s="4">
        <v>123273</v>
      </c>
      <c r="G37" s="7">
        <f t="shared" si="1"/>
        <v>0.6801732739529337</v>
      </c>
      <c r="J37" s="4">
        <v>72543</v>
      </c>
      <c r="K37" s="4">
        <v>69161</v>
      </c>
      <c r="L37" s="7">
        <f t="shared" ref="L37:L42" si="2">K37/J37</f>
        <v>0.95337937499138437</v>
      </c>
      <c r="V37" s="37"/>
      <c r="W37" s="37"/>
      <c r="X37" s="37"/>
      <c r="Y37" s="4"/>
    </row>
    <row r="38" spans="1:26" x14ac:dyDescent="0.25">
      <c r="B38" t="s">
        <v>473</v>
      </c>
      <c r="C38" s="4">
        <v>68704</v>
      </c>
      <c r="D38" s="4">
        <v>126411</v>
      </c>
      <c r="E38" s="7">
        <f t="shared" si="0"/>
        <v>0.54349700579854598</v>
      </c>
      <c r="F38" s="4">
        <v>107988</v>
      </c>
      <c r="G38" s="7">
        <f t="shared" si="1"/>
        <v>0.63621883913027377</v>
      </c>
      <c r="J38" s="4">
        <v>69176</v>
      </c>
      <c r="K38" s="4">
        <v>51698</v>
      </c>
      <c r="L38" s="7">
        <f t="shared" si="2"/>
        <v>0.74734011795998612</v>
      </c>
      <c r="V38" s="37"/>
      <c r="W38" s="37"/>
      <c r="X38" s="37"/>
      <c r="Y38" s="4"/>
    </row>
    <row r="39" spans="1:26" x14ac:dyDescent="0.25">
      <c r="B39" t="s">
        <v>474</v>
      </c>
      <c r="C39" s="4">
        <v>54927</v>
      </c>
      <c r="D39" s="4">
        <v>83603</v>
      </c>
      <c r="E39" s="7">
        <f t="shared" si="0"/>
        <v>0.65699795461885335</v>
      </c>
      <c r="F39" s="4">
        <v>71419</v>
      </c>
      <c r="G39" s="7">
        <f t="shared" si="1"/>
        <v>0.76908105686161943</v>
      </c>
      <c r="J39" s="4">
        <v>47566</v>
      </c>
      <c r="K39" s="4">
        <v>38063</v>
      </c>
      <c r="L39" s="7">
        <f t="shared" si="2"/>
        <v>0.80021443888491783</v>
      </c>
      <c r="V39" s="37"/>
      <c r="W39" s="37"/>
      <c r="X39" s="37"/>
      <c r="Y39" s="4"/>
    </row>
    <row r="40" spans="1:26" x14ac:dyDescent="0.25">
      <c r="B40" t="s">
        <v>480</v>
      </c>
      <c r="C40" s="4">
        <v>23189</v>
      </c>
      <c r="D40" s="4">
        <v>34014</v>
      </c>
      <c r="E40" s="7">
        <f t="shared" si="0"/>
        <v>0.68174869171517616</v>
      </c>
      <c r="F40" s="4">
        <v>29057</v>
      </c>
      <c r="G40" s="7">
        <f t="shared" si="1"/>
        <v>0.79805210448428954</v>
      </c>
      <c r="J40" s="4">
        <v>34282</v>
      </c>
      <c r="K40" s="4">
        <v>14798</v>
      </c>
      <c r="L40" s="7">
        <f t="shared" si="2"/>
        <v>0.43165509596872992</v>
      </c>
      <c r="V40" s="37"/>
      <c r="W40" s="37"/>
      <c r="X40" s="37"/>
      <c r="Y40" s="4"/>
    </row>
    <row r="41" spans="1:26" ht="15.75" thickBot="1" x14ac:dyDescent="0.3">
      <c r="B41" t="s">
        <v>481</v>
      </c>
      <c r="C41" s="4">
        <v>11561</v>
      </c>
      <c r="D41" s="4">
        <v>24357</v>
      </c>
      <c r="E41" s="7">
        <f t="shared" si="0"/>
        <v>0.47464794514923841</v>
      </c>
      <c r="F41" s="4">
        <v>20807</v>
      </c>
      <c r="G41" s="7">
        <f t="shared" si="1"/>
        <v>0.55563031672033447</v>
      </c>
      <c r="J41" s="4">
        <v>14386</v>
      </c>
      <c r="K41" s="21">
        <v>7858</v>
      </c>
      <c r="L41" s="7">
        <f t="shared" si="2"/>
        <v>0.54622549701098289</v>
      </c>
      <c r="V41" s="37"/>
      <c r="W41" s="37"/>
      <c r="X41" s="37"/>
      <c r="Y41" s="4"/>
    </row>
    <row r="42" spans="1:26" ht="15.75" thickBot="1" x14ac:dyDescent="0.3">
      <c r="B42" t="s">
        <v>144</v>
      </c>
      <c r="C42" s="4">
        <f>SUM(C36:C41)</f>
        <v>328035</v>
      </c>
      <c r="D42" s="61">
        <f>SUM(D36:D41)</f>
        <v>570765</v>
      </c>
      <c r="E42" s="62">
        <f t="shared" si="0"/>
        <v>0.57472865364905001</v>
      </c>
      <c r="F42" s="4">
        <f>SUM(F36:F41)</f>
        <v>487583</v>
      </c>
      <c r="G42" s="63">
        <f t="shared" si="1"/>
        <v>0.67277776296548486</v>
      </c>
      <c r="I42" s="4">
        <f>SUM(Population!E94:E100)*0.15</f>
        <v>362750.85</v>
      </c>
      <c r="J42" s="4">
        <f>SUM(J36:J41)</f>
        <v>324025</v>
      </c>
      <c r="K42" s="4">
        <f>SUM(K36:K41)</f>
        <v>237647</v>
      </c>
      <c r="L42" s="7">
        <f t="shared" si="2"/>
        <v>0.73342180387315792</v>
      </c>
      <c r="M42" s="62">
        <f>K42/I42</f>
        <v>0.65512458482178615</v>
      </c>
      <c r="V42" s="37"/>
      <c r="W42" s="37"/>
      <c r="X42" s="37"/>
      <c r="Y42" s="60"/>
    </row>
    <row r="43" spans="1:26" s="37" customFormat="1" x14ac:dyDescent="0.25">
      <c r="C43" s="4"/>
      <c r="D43" s="4"/>
      <c r="E43" s="7"/>
      <c r="G43" s="4"/>
      <c r="H43" s="4"/>
      <c r="I43" s="37" t="s">
        <v>1094</v>
      </c>
      <c r="K43" s="4"/>
      <c r="L43" s="4"/>
      <c r="M43" s="7"/>
    </row>
    <row r="44" spans="1:26" s="37" customFormat="1" x14ac:dyDescent="0.25">
      <c r="B44" s="37" t="s">
        <v>1136</v>
      </c>
      <c r="C44" s="40">
        <v>2013</v>
      </c>
      <c r="D44" s="26">
        <v>43.1</v>
      </c>
      <c r="E44" s="7" t="s">
        <v>1137</v>
      </c>
      <c r="F44" s="37">
        <f>C20*M42</f>
        <v>0.49396393695562674</v>
      </c>
      <c r="G44" s="60"/>
      <c r="H44" s="4"/>
      <c r="I44" s="7"/>
      <c r="K44" s="4"/>
    </row>
    <row r="45" spans="1:26" x14ac:dyDescent="0.25">
      <c r="C45" s="40">
        <v>2015</v>
      </c>
      <c r="D45" s="26">
        <v>75.400000000000006</v>
      </c>
      <c r="F45">
        <f>D45*E42</f>
        <v>43.334540485138376</v>
      </c>
    </row>
    <row r="46" spans="1:26" s="37" customFormat="1" x14ac:dyDescent="0.25">
      <c r="C46" s="40"/>
      <c r="D46" s="4"/>
    </row>
    <row r="47" spans="1:26" s="37" customFormat="1" x14ac:dyDescent="0.25">
      <c r="A47" s="2" t="s">
        <v>1090</v>
      </c>
      <c r="C47" s="40"/>
      <c r="D47" s="4"/>
    </row>
    <row r="48" spans="1:26" s="37" customFormat="1" x14ac:dyDescent="0.25">
      <c r="A48" s="2"/>
      <c r="C48" s="40">
        <v>2017</v>
      </c>
      <c r="D48" s="4"/>
    </row>
    <row r="49" spans="1:12" s="37" customFormat="1" x14ac:dyDescent="0.25">
      <c r="C49" s="40" t="s">
        <v>1091</v>
      </c>
      <c r="D49" s="4" t="s">
        <v>1092</v>
      </c>
      <c r="E49" s="37" t="s">
        <v>1093</v>
      </c>
    </row>
    <row r="50" spans="1:12" s="37" customFormat="1" x14ac:dyDescent="0.25">
      <c r="B50" s="37" t="s">
        <v>471</v>
      </c>
      <c r="C50" s="40">
        <v>128199</v>
      </c>
      <c r="D50" s="4">
        <v>100677</v>
      </c>
      <c r="E50" s="7">
        <f t="shared" ref="E50:E56" si="3">D50/C50</f>
        <v>0.78531813820700624</v>
      </c>
    </row>
    <row r="51" spans="1:12" s="37" customFormat="1" x14ac:dyDescent="0.25">
      <c r="B51" s="37" t="s">
        <v>472</v>
      </c>
      <c r="C51" s="40">
        <v>112862</v>
      </c>
      <c r="D51" s="4">
        <v>101527</v>
      </c>
      <c r="E51" s="7">
        <f t="shared" si="3"/>
        <v>0.8995676135457461</v>
      </c>
    </row>
    <row r="52" spans="1:12" s="37" customFormat="1" x14ac:dyDescent="0.25">
      <c r="B52" s="37" t="s">
        <v>473</v>
      </c>
      <c r="C52" s="40">
        <v>113605</v>
      </c>
      <c r="D52" s="4">
        <v>80123</v>
      </c>
      <c r="E52" s="7">
        <f t="shared" si="3"/>
        <v>0.7052770564675851</v>
      </c>
    </row>
    <row r="53" spans="1:12" s="37" customFormat="1" x14ac:dyDescent="0.25">
      <c r="B53" s="37" t="s">
        <v>474</v>
      </c>
      <c r="C53" s="40">
        <v>79146</v>
      </c>
      <c r="D53" s="4">
        <v>65820</v>
      </c>
      <c r="E53" s="7">
        <f t="shared" si="3"/>
        <v>0.83162762489576225</v>
      </c>
    </row>
    <row r="54" spans="1:12" s="37" customFormat="1" x14ac:dyDescent="0.25">
      <c r="B54" s="37" t="s">
        <v>480</v>
      </c>
      <c r="C54" s="40">
        <v>34950</v>
      </c>
      <c r="D54" s="4">
        <v>27571</v>
      </c>
      <c r="E54" s="7">
        <f t="shared" si="3"/>
        <v>0.78886981402002865</v>
      </c>
    </row>
    <row r="55" spans="1:12" s="37" customFormat="1" x14ac:dyDescent="0.25">
      <c r="B55" s="37" t="s">
        <v>481</v>
      </c>
      <c r="C55" s="40">
        <v>17537</v>
      </c>
      <c r="D55" s="4">
        <v>13439</v>
      </c>
      <c r="E55" s="7">
        <f t="shared" si="3"/>
        <v>0.76632263214917029</v>
      </c>
    </row>
    <row r="56" spans="1:12" s="37" customFormat="1" x14ac:dyDescent="0.25">
      <c r="B56" s="37" t="s">
        <v>144</v>
      </c>
      <c r="C56" s="40">
        <f>SUM(C50:C55)</f>
        <v>486299</v>
      </c>
      <c r="D56" s="4">
        <f>SUM(D50:D55)</f>
        <v>389157</v>
      </c>
      <c r="E56" s="7">
        <f t="shared" si="3"/>
        <v>0.80024223780020109</v>
      </c>
      <c r="G56" s="37">
        <f>0.754*E56*100</f>
        <v>60.338264730135158</v>
      </c>
    </row>
    <row r="57" spans="1:12" s="37" customFormat="1" x14ac:dyDescent="0.25">
      <c r="C57" s="40"/>
      <c r="D57" s="4"/>
    </row>
    <row r="58" spans="1:12" x14ac:dyDescent="0.25">
      <c r="A58" s="2" t="s">
        <v>582</v>
      </c>
      <c r="F58" s="21"/>
      <c r="G58" s="4"/>
      <c r="H58" s="4"/>
      <c r="K58" s="4"/>
      <c r="L58" s="4"/>
    </row>
    <row r="59" spans="1:12" x14ac:dyDescent="0.25">
      <c r="B59" s="21" t="s">
        <v>500</v>
      </c>
      <c r="C59" s="21" t="s">
        <v>583</v>
      </c>
      <c r="D59" s="21" t="s">
        <v>584</v>
      </c>
      <c r="E59" s="21" t="s">
        <v>585</v>
      </c>
      <c r="F59" s="21" t="s">
        <v>586</v>
      </c>
      <c r="G59" s="21" t="s">
        <v>584</v>
      </c>
      <c r="H59" s="4" t="s">
        <v>585</v>
      </c>
      <c r="K59" s="4"/>
      <c r="L59" s="4"/>
    </row>
    <row r="60" spans="1:12" x14ac:dyDescent="0.25">
      <c r="B60" s="21">
        <v>2010</v>
      </c>
      <c r="C60" s="21">
        <v>31</v>
      </c>
      <c r="D60" s="21">
        <v>27</v>
      </c>
      <c r="E60" s="21">
        <v>38</v>
      </c>
      <c r="F60" s="21">
        <v>17</v>
      </c>
      <c r="G60" s="21">
        <v>13</v>
      </c>
      <c r="H60" s="4">
        <v>22</v>
      </c>
    </row>
    <row r="61" spans="1:12" x14ac:dyDescent="0.25">
      <c r="B61" s="21">
        <v>2011</v>
      </c>
      <c r="C61" s="21">
        <v>38</v>
      </c>
      <c r="D61" s="21">
        <v>33</v>
      </c>
      <c r="E61" s="21">
        <v>46</v>
      </c>
      <c r="F61" s="21">
        <v>25</v>
      </c>
      <c r="G61" s="21">
        <v>19</v>
      </c>
      <c r="H61" s="21">
        <v>32</v>
      </c>
    </row>
    <row r="62" spans="1:12" x14ac:dyDescent="0.25">
      <c r="B62" s="21">
        <v>2012</v>
      </c>
      <c r="C62" s="21">
        <v>42</v>
      </c>
      <c r="D62" s="21">
        <v>36</v>
      </c>
      <c r="E62" s="21">
        <v>51</v>
      </c>
      <c r="F62" s="21">
        <v>30</v>
      </c>
      <c r="G62" s="21">
        <v>23</v>
      </c>
      <c r="H62" s="4">
        <v>39</v>
      </c>
      <c r="K62" s="4"/>
      <c r="L62" s="4"/>
    </row>
    <row r="63" spans="1:12" x14ac:dyDescent="0.25">
      <c r="B63" s="21">
        <v>2013</v>
      </c>
      <c r="C63" s="21">
        <v>45</v>
      </c>
      <c r="D63" s="21">
        <v>38</v>
      </c>
      <c r="E63" s="21">
        <v>54</v>
      </c>
      <c r="F63" s="21">
        <v>35</v>
      </c>
      <c r="G63" s="21">
        <v>27</v>
      </c>
      <c r="H63" s="4">
        <v>45</v>
      </c>
      <c r="K63" s="4"/>
      <c r="L63" s="4"/>
    </row>
    <row r="64" spans="1:12" x14ac:dyDescent="0.25">
      <c r="B64" s="21">
        <v>2014</v>
      </c>
      <c r="C64" s="21">
        <v>51</v>
      </c>
      <c r="D64" s="21">
        <v>43</v>
      </c>
      <c r="E64" s="21">
        <v>61</v>
      </c>
      <c r="F64" s="21">
        <v>41</v>
      </c>
      <c r="G64" s="21">
        <v>31</v>
      </c>
      <c r="H64" s="4">
        <v>52</v>
      </c>
      <c r="K64" s="4"/>
      <c r="L64" s="4"/>
    </row>
    <row r="65" spans="1:12" x14ac:dyDescent="0.25">
      <c r="B65" s="21">
        <v>2015</v>
      </c>
      <c r="C65" s="21">
        <v>60</v>
      </c>
      <c r="D65" s="21">
        <v>51</v>
      </c>
      <c r="E65" s="21">
        <v>72</v>
      </c>
      <c r="F65" s="21">
        <v>48</v>
      </c>
      <c r="G65" s="21">
        <v>37</v>
      </c>
      <c r="H65" s="4">
        <v>61</v>
      </c>
      <c r="K65" s="4"/>
      <c r="L65" s="4"/>
    </row>
    <row r="66" spans="1:12" x14ac:dyDescent="0.25">
      <c r="B66" s="21">
        <v>2016</v>
      </c>
      <c r="C66" s="21">
        <v>67</v>
      </c>
      <c r="D66" s="21">
        <v>57</v>
      </c>
      <c r="E66" s="21">
        <v>81</v>
      </c>
      <c r="F66" s="21">
        <v>56</v>
      </c>
      <c r="G66" s="21">
        <v>44</v>
      </c>
      <c r="H66" s="4">
        <v>72</v>
      </c>
      <c r="K66" s="4"/>
      <c r="L66" s="4"/>
    </row>
    <row r="67" spans="1:12" x14ac:dyDescent="0.25">
      <c r="B67" s="21">
        <v>2017</v>
      </c>
      <c r="C67" s="21">
        <v>73</v>
      </c>
      <c r="D67" s="21">
        <v>62</v>
      </c>
      <c r="E67" s="21">
        <v>88</v>
      </c>
      <c r="F67" s="21">
        <v>66</v>
      </c>
      <c r="G67" s="21">
        <v>51</v>
      </c>
      <c r="H67" s="4">
        <v>85</v>
      </c>
      <c r="K67" s="4"/>
      <c r="L67" s="4"/>
    </row>
    <row r="68" spans="1:12" x14ac:dyDescent="0.25">
      <c r="B68" s="21">
        <v>2018</v>
      </c>
      <c r="C68" s="21">
        <v>69</v>
      </c>
      <c r="D68" s="21">
        <v>59</v>
      </c>
      <c r="E68" s="21">
        <v>83</v>
      </c>
      <c r="F68" s="21">
        <v>61</v>
      </c>
      <c r="G68" s="21">
        <v>47</v>
      </c>
      <c r="H68" s="21">
        <v>78</v>
      </c>
    </row>
    <row r="70" spans="1:12" x14ac:dyDescent="0.25">
      <c r="A70" s="2" t="s">
        <v>587</v>
      </c>
    </row>
    <row r="72" spans="1:12" x14ac:dyDescent="0.25">
      <c r="J72" s="2"/>
    </row>
    <row r="97" spans="1:11" x14ac:dyDescent="0.25">
      <c r="A97" s="2" t="s">
        <v>1014</v>
      </c>
    </row>
    <row r="98" spans="1:11" x14ac:dyDescent="0.25">
      <c r="B98" t="s">
        <v>614</v>
      </c>
    </row>
    <row r="99" spans="1:11" x14ac:dyDescent="0.25">
      <c r="B99" t="s">
        <v>196</v>
      </c>
      <c r="C99" t="s">
        <v>215</v>
      </c>
      <c r="D99" t="s">
        <v>575</v>
      </c>
      <c r="E99" t="s">
        <v>576</v>
      </c>
      <c r="F99" s="37" t="s">
        <v>217</v>
      </c>
      <c r="G99" s="37" t="s">
        <v>575</v>
      </c>
      <c r="H99" s="37" t="s">
        <v>576</v>
      </c>
      <c r="J99" t="s">
        <v>1140</v>
      </c>
    </row>
    <row r="100" spans="1:11" x14ac:dyDescent="0.25">
      <c r="B100">
        <v>2015</v>
      </c>
      <c r="C100">
        <v>66</v>
      </c>
      <c r="D100">
        <v>56</v>
      </c>
      <c r="E100">
        <v>79</v>
      </c>
      <c r="F100">
        <v>51</v>
      </c>
      <c r="G100">
        <v>43</v>
      </c>
      <c r="H100">
        <v>62</v>
      </c>
      <c r="J100">
        <f>C100* 0.754</f>
        <v>49.764000000000003</v>
      </c>
      <c r="K100">
        <f>F100*0.754</f>
        <v>38.454000000000001</v>
      </c>
    </row>
    <row r="101" spans="1:11" x14ac:dyDescent="0.25">
      <c r="B101">
        <v>2016</v>
      </c>
      <c r="C101">
        <v>74</v>
      </c>
      <c r="D101">
        <v>63</v>
      </c>
      <c r="E101">
        <v>89</v>
      </c>
      <c r="F101">
        <v>56</v>
      </c>
      <c r="G101">
        <v>47</v>
      </c>
      <c r="H101">
        <v>68</v>
      </c>
      <c r="J101" s="37">
        <f>C101* 0.8</f>
        <v>59.2</v>
      </c>
      <c r="K101">
        <f>F101*0.8</f>
        <v>44.800000000000004</v>
      </c>
    </row>
    <row r="102" spans="1:11" x14ac:dyDescent="0.25">
      <c r="B102">
        <v>2017</v>
      </c>
      <c r="C102">
        <v>80</v>
      </c>
      <c r="D102">
        <v>68</v>
      </c>
      <c r="E102">
        <v>95</v>
      </c>
      <c r="F102">
        <v>61</v>
      </c>
      <c r="G102">
        <v>52</v>
      </c>
      <c r="H102">
        <v>74</v>
      </c>
      <c r="J102" s="37">
        <f>C102* 0.85</f>
        <v>68</v>
      </c>
      <c r="K102">
        <f>F102*0.85</f>
        <v>51.85</v>
      </c>
    </row>
    <row r="103" spans="1:11" x14ac:dyDescent="0.25">
      <c r="B103">
        <v>2018</v>
      </c>
      <c r="C103">
        <v>75</v>
      </c>
      <c r="D103">
        <v>64</v>
      </c>
      <c r="E103">
        <v>90</v>
      </c>
      <c r="F103">
        <v>59</v>
      </c>
      <c r="G103">
        <v>50</v>
      </c>
      <c r="H103">
        <v>71</v>
      </c>
      <c r="J103">
        <f>C103*0.906</f>
        <v>67.95</v>
      </c>
      <c r="K103">
        <f>F103*0.909</f>
        <v>53.631</v>
      </c>
    </row>
    <row r="105" spans="1:11" x14ac:dyDescent="0.25">
      <c r="A105" s="2" t="s">
        <v>1102</v>
      </c>
    </row>
    <row r="106" spans="1:11" x14ac:dyDescent="0.25">
      <c r="B106" t="s">
        <v>1103</v>
      </c>
    </row>
    <row r="107" spans="1:11" x14ac:dyDescent="0.25">
      <c r="B107" t="s">
        <v>1104</v>
      </c>
      <c r="C107" t="s">
        <v>106</v>
      </c>
      <c r="D107" t="s">
        <v>595</v>
      </c>
      <c r="E107" t="s">
        <v>575</v>
      </c>
      <c r="F107" t="s">
        <v>576</v>
      </c>
      <c r="G107" t="s">
        <v>1105</v>
      </c>
    </row>
    <row r="108" spans="1:11" x14ac:dyDescent="0.25">
      <c r="B108" t="s">
        <v>473</v>
      </c>
      <c r="C108">
        <v>116</v>
      </c>
      <c r="D108">
        <v>78.7</v>
      </c>
      <c r="E108">
        <v>66.599999999999994</v>
      </c>
      <c r="F108">
        <v>90.7</v>
      </c>
      <c r="G108">
        <f>((D108*C108)+(D109*C109)+(D110*C110)+(D111*C111)+(D112*C112)+(D113*C113))/(SUM(C108:C113))</f>
        <v>78.838034865293181</v>
      </c>
    </row>
    <row r="109" spans="1:11" x14ac:dyDescent="0.25">
      <c r="B109" t="s">
        <v>472</v>
      </c>
      <c r="C109">
        <v>134</v>
      </c>
      <c r="D109">
        <v>83.2</v>
      </c>
      <c r="E109">
        <v>75.5</v>
      </c>
      <c r="F109">
        <v>90.9</v>
      </c>
    </row>
    <row r="110" spans="1:11" x14ac:dyDescent="0.25">
      <c r="B110" t="s">
        <v>471</v>
      </c>
      <c r="C110">
        <v>170</v>
      </c>
      <c r="D110">
        <v>83.8</v>
      </c>
      <c r="E110">
        <v>77.8</v>
      </c>
      <c r="F110">
        <v>89.9</v>
      </c>
    </row>
    <row r="111" spans="1:11" x14ac:dyDescent="0.25">
      <c r="B111" t="s">
        <v>474</v>
      </c>
      <c r="C111">
        <v>139</v>
      </c>
      <c r="D111">
        <v>76.8</v>
      </c>
      <c r="E111">
        <v>67.900000000000006</v>
      </c>
      <c r="F111">
        <v>85.6</v>
      </c>
    </row>
    <row r="112" spans="1:11" x14ac:dyDescent="0.25">
      <c r="B112" t="s">
        <v>480</v>
      </c>
      <c r="C112">
        <v>46</v>
      </c>
      <c r="D112">
        <v>60.2</v>
      </c>
      <c r="E112">
        <v>49.9</v>
      </c>
      <c r="F112">
        <v>70.5</v>
      </c>
    </row>
    <row r="113" spans="2:6" x14ac:dyDescent="0.25">
      <c r="B113" t="s">
        <v>481</v>
      </c>
      <c r="C113">
        <v>26</v>
      </c>
      <c r="D113">
        <v>68.400000000000006</v>
      </c>
      <c r="E113">
        <v>41.9</v>
      </c>
      <c r="F113">
        <v>94.8</v>
      </c>
    </row>
    <row r="114" spans="2:6" x14ac:dyDescent="0.25">
      <c r="B114" t="s">
        <v>266</v>
      </c>
      <c r="C114">
        <v>53</v>
      </c>
      <c r="D114">
        <v>72.8</v>
      </c>
      <c r="E114">
        <v>61.5</v>
      </c>
      <c r="F114">
        <v>84.1</v>
      </c>
    </row>
    <row r="115" spans="2:6" x14ac:dyDescent="0.25">
      <c r="B115" t="s">
        <v>28</v>
      </c>
      <c r="C115">
        <v>1523</v>
      </c>
      <c r="D115">
        <v>71.599999999999994</v>
      </c>
      <c r="E115">
        <v>68.8</v>
      </c>
      <c r="F115">
        <v>74.400000000000006</v>
      </c>
    </row>
    <row r="117" spans="2:6" x14ac:dyDescent="0.25">
      <c r="B117" t="s">
        <v>1106</v>
      </c>
    </row>
    <row r="118" spans="2:6" x14ac:dyDescent="0.25">
      <c r="C118" t="s">
        <v>222</v>
      </c>
      <c r="D118" t="s">
        <v>223</v>
      </c>
    </row>
    <row r="119" spans="2:6" x14ac:dyDescent="0.25">
      <c r="B119" t="s">
        <v>1107</v>
      </c>
      <c r="C119">
        <v>53.5</v>
      </c>
      <c r="D119">
        <v>43.8</v>
      </c>
    </row>
    <row r="120" spans="2:6" x14ac:dyDescent="0.25">
      <c r="B120" t="s">
        <v>155</v>
      </c>
      <c r="C120">
        <v>59</v>
      </c>
      <c r="D120" s="31" t="s">
        <v>530</v>
      </c>
    </row>
    <row r="121" spans="2:6" x14ac:dyDescent="0.25">
      <c r="B121" t="s">
        <v>550</v>
      </c>
      <c r="C121">
        <v>70.8</v>
      </c>
      <c r="D121">
        <v>52.6</v>
      </c>
    </row>
    <row r="122" spans="2:6" x14ac:dyDescent="0.25">
      <c r="B122" t="s">
        <v>1108</v>
      </c>
      <c r="C122">
        <v>77</v>
      </c>
      <c r="D122">
        <v>65</v>
      </c>
    </row>
    <row r="123" spans="2:6" x14ac:dyDescent="0.25">
      <c r="B123" t="s">
        <v>578</v>
      </c>
      <c r="C123">
        <v>83</v>
      </c>
      <c r="D123">
        <v>72.8</v>
      </c>
    </row>
    <row r="124" spans="2:6" x14ac:dyDescent="0.25">
      <c r="B124" t="s">
        <v>1109</v>
      </c>
      <c r="C124">
        <v>85.1</v>
      </c>
      <c r="D124">
        <v>81.599999999999994</v>
      </c>
    </row>
    <row r="126" spans="2:6" x14ac:dyDescent="0.25">
      <c r="B126" t="s">
        <v>1110</v>
      </c>
    </row>
    <row r="127" spans="2:6" x14ac:dyDescent="0.25">
      <c r="C127" t="s">
        <v>1114</v>
      </c>
      <c r="D127" t="s">
        <v>1115</v>
      </c>
      <c r="E127" t="s">
        <v>1111</v>
      </c>
    </row>
    <row r="128" spans="2:6" x14ac:dyDescent="0.25">
      <c r="B128" t="s">
        <v>1107</v>
      </c>
      <c r="C128">
        <v>78.900000000000006</v>
      </c>
      <c r="D128">
        <v>93.2</v>
      </c>
      <c r="E128">
        <v>67.099999999999994</v>
      </c>
    </row>
    <row r="129" spans="1:5" x14ac:dyDescent="0.25">
      <c r="B129" t="s">
        <v>1112</v>
      </c>
      <c r="C129">
        <v>82.7</v>
      </c>
      <c r="D129">
        <v>96.6</v>
      </c>
      <c r="E129">
        <v>90.6</v>
      </c>
    </row>
    <row r="130" spans="1:5" x14ac:dyDescent="0.25">
      <c r="B130" t="s">
        <v>1113</v>
      </c>
      <c r="C130">
        <v>72.599999999999994</v>
      </c>
      <c r="D130">
        <v>94.5</v>
      </c>
      <c r="E130">
        <v>90.9</v>
      </c>
    </row>
    <row r="132" spans="1:5" x14ac:dyDescent="0.25">
      <c r="B132" t="s">
        <v>1121</v>
      </c>
    </row>
    <row r="133" spans="1:5" x14ac:dyDescent="0.25">
      <c r="B133" s="37"/>
      <c r="C133" s="37" t="s">
        <v>1114</v>
      </c>
      <c r="D133" s="37" t="s">
        <v>1115</v>
      </c>
      <c r="E133" s="37" t="s">
        <v>1111</v>
      </c>
    </row>
    <row r="134" spans="1:5" x14ac:dyDescent="0.25">
      <c r="B134" s="37" t="s">
        <v>1107</v>
      </c>
      <c r="C134" s="37">
        <v>78.900000000000006</v>
      </c>
      <c r="D134" s="8">
        <f>D128*C128/100</f>
        <v>73.534800000000004</v>
      </c>
      <c r="E134" s="8">
        <f>D134*E128/100</f>
        <v>49.341850800000003</v>
      </c>
    </row>
    <row r="135" spans="1:5" x14ac:dyDescent="0.25">
      <c r="B135" s="37" t="s">
        <v>1112</v>
      </c>
      <c r="C135" s="37">
        <v>82.7</v>
      </c>
      <c r="D135" s="8">
        <f>D129*C129/100</f>
        <v>79.888199999999998</v>
      </c>
      <c r="E135" s="8">
        <f>E129*D135/100</f>
        <v>72.378709199999989</v>
      </c>
    </row>
    <row r="136" spans="1:5" x14ac:dyDescent="0.25">
      <c r="B136" s="37" t="s">
        <v>1113</v>
      </c>
      <c r="C136" s="37">
        <v>72.599999999999994</v>
      </c>
      <c r="D136" s="8">
        <f>D130*C130/100</f>
        <v>68.606999999999999</v>
      </c>
      <c r="E136" s="8">
        <f>E130*D136/100</f>
        <v>62.363762999999999</v>
      </c>
    </row>
    <row r="138" spans="1:5" x14ac:dyDescent="0.25">
      <c r="A138" s="2" t="s">
        <v>1128</v>
      </c>
    </row>
    <row r="154" spans="1:1" x14ac:dyDescent="0.25">
      <c r="A154" s="2" t="s">
        <v>1129</v>
      </c>
    </row>
    <row r="155" spans="1:1" x14ac:dyDescent="0.25">
      <c r="A155" s="32" t="s">
        <v>1130</v>
      </c>
    </row>
    <row r="158" spans="1:1" x14ac:dyDescent="0.25">
      <c r="A158" s="2" t="s">
        <v>1131</v>
      </c>
    </row>
    <row r="188" spans="2:14" x14ac:dyDescent="0.25">
      <c r="B188" t="s">
        <v>196</v>
      </c>
      <c r="C188" t="s">
        <v>1133</v>
      </c>
      <c r="D188" t="s">
        <v>1132</v>
      </c>
      <c r="E188" t="s">
        <v>1093</v>
      </c>
      <c r="H188" s="37"/>
      <c r="I188" s="37"/>
      <c r="J188" s="37"/>
      <c r="K188" s="37"/>
      <c r="L188" s="37"/>
      <c r="M188" s="37"/>
      <c r="N188" s="37"/>
    </row>
    <row r="189" spans="2:14" x14ac:dyDescent="0.25">
      <c r="B189">
        <v>2003</v>
      </c>
      <c r="C189" s="37">
        <v>8205</v>
      </c>
      <c r="D189">
        <v>0</v>
      </c>
      <c r="E189">
        <f t="shared" ref="E189:E194" si="4">D189/C189*100</f>
        <v>0</v>
      </c>
      <c r="H189" s="37"/>
      <c r="I189" s="37"/>
      <c r="J189" s="37"/>
      <c r="K189" s="37"/>
      <c r="L189" s="37"/>
      <c r="M189" s="37"/>
      <c r="N189" s="37"/>
    </row>
    <row r="190" spans="2:14" x14ac:dyDescent="0.25">
      <c r="B190">
        <v>2004</v>
      </c>
      <c r="C190" s="37">
        <v>8311</v>
      </c>
      <c r="D190">
        <v>0</v>
      </c>
      <c r="E190" s="37">
        <f t="shared" si="4"/>
        <v>0</v>
      </c>
      <c r="H190" s="37"/>
      <c r="I190" s="37"/>
      <c r="J190" s="37"/>
      <c r="K190" s="37"/>
      <c r="L190" s="37"/>
      <c r="M190" s="37"/>
      <c r="N190" s="37"/>
    </row>
    <row r="191" spans="2:14" x14ac:dyDescent="0.25">
      <c r="B191" s="37">
        <v>2005</v>
      </c>
      <c r="C191" s="37">
        <v>8373</v>
      </c>
      <c r="D191">
        <v>10</v>
      </c>
      <c r="E191" s="8">
        <f t="shared" si="4"/>
        <v>0.11943150603129105</v>
      </c>
      <c r="J191" s="37"/>
      <c r="K191" s="37"/>
      <c r="L191" s="37"/>
    </row>
    <row r="192" spans="2:14" x14ac:dyDescent="0.25">
      <c r="B192" s="37">
        <v>2006</v>
      </c>
      <c r="C192" s="37">
        <v>8568</v>
      </c>
      <c r="D192">
        <v>93</v>
      </c>
      <c r="E192" s="8">
        <f t="shared" si="4"/>
        <v>1.0854341736694677</v>
      </c>
      <c r="J192" s="37"/>
      <c r="K192" s="37"/>
      <c r="L192" s="37"/>
      <c r="M192" s="37"/>
      <c r="N192" s="37"/>
    </row>
    <row r="193" spans="2:14" x14ac:dyDescent="0.25">
      <c r="B193" s="37">
        <v>2007</v>
      </c>
      <c r="C193">
        <v>8702</v>
      </c>
      <c r="D193">
        <v>412</v>
      </c>
      <c r="E193" s="8">
        <f t="shared" si="4"/>
        <v>4.7345437830383821</v>
      </c>
      <c r="H193" s="37"/>
      <c r="I193" s="37"/>
      <c r="J193" s="37"/>
      <c r="K193" s="37"/>
      <c r="L193" s="37"/>
      <c r="M193" s="37"/>
      <c r="N193" s="37"/>
    </row>
    <row r="194" spans="2:14" x14ac:dyDescent="0.25">
      <c r="B194" s="37">
        <v>2008</v>
      </c>
      <c r="C194" s="37">
        <v>9098</v>
      </c>
      <c r="D194">
        <v>735</v>
      </c>
      <c r="E194" s="8">
        <f t="shared" si="4"/>
        <v>8.0786986150802385</v>
      </c>
      <c r="J194" s="37"/>
      <c r="K194" s="37"/>
      <c r="L194" s="37"/>
      <c r="M194" s="37"/>
      <c r="N194" s="37"/>
    </row>
  </sheetData>
  <mergeCells count="1">
    <mergeCell ref="C34:E34"/>
  </mergeCells>
  <hyperlinks>
    <hyperlink ref="A155" r:id="rId1"/>
  </hyperlinks>
  <pageMargins left="0.7" right="0.7" top="0.75" bottom="0.75" header="0.3" footer="0.3"/>
  <pageSetup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B8" sqref="B8"/>
    </sheetView>
  </sheetViews>
  <sheetFormatPr defaultRowHeight="15" x14ac:dyDescent="0.25"/>
  <sheetData>
    <row r="1" spans="1:4" x14ac:dyDescent="0.25">
      <c r="A1" s="2" t="s">
        <v>402</v>
      </c>
    </row>
    <row r="2" spans="1:4" x14ac:dyDescent="0.25">
      <c r="B2" t="s">
        <v>425</v>
      </c>
    </row>
    <row r="3" spans="1:4" x14ac:dyDescent="0.25">
      <c r="C3" t="s">
        <v>429</v>
      </c>
      <c r="D3" t="s">
        <v>75</v>
      </c>
    </row>
    <row r="4" spans="1:4" x14ac:dyDescent="0.25">
      <c r="B4" t="s">
        <v>426</v>
      </c>
      <c r="C4">
        <v>30.6</v>
      </c>
      <c r="D4" t="s">
        <v>430</v>
      </c>
    </row>
    <row r="5" spans="1:4" x14ac:dyDescent="0.25">
      <c r="B5" t="s">
        <v>427</v>
      </c>
      <c r="C5">
        <v>14.5</v>
      </c>
      <c r="D5" t="s">
        <v>431</v>
      </c>
    </row>
    <row r="6" spans="1:4" x14ac:dyDescent="0.25">
      <c r="B6" t="s">
        <v>428</v>
      </c>
      <c r="C6">
        <v>54.9</v>
      </c>
      <c r="D6" t="s">
        <v>432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90"/>
  <sheetViews>
    <sheetView workbookViewId="0">
      <selection activeCell="A2" sqref="A2"/>
    </sheetView>
  </sheetViews>
  <sheetFormatPr defaultRowHeight="15" x14ac:dyDescent="0.25"/>
  <cols>
    <col min="4" max="4" width="16.28515625" bestFit="1" customWidth="1"/>
    <col min="5" max="5" width="15.42578125" customWidth="1"/>
    <col min="6" max="6" width="16.42578125" customWidth="1"/>
    <col min="7" max="7" width="16.5703125" customWidth="1"/>
  </cols>
  <sheetData>
    <row r="2" spans="1:8" x14ac:dyDescent="0.25">
      <c r="A2" s="2" t="s">
        <v>499</v>
      </c>
    </row>
    <row r="4" spans="1:8" x14ac:dyDescent="0.25">
      <c r="B4" s="21" t="s">
        <v>509</v>
      </c>
      <c r="C4" s="21"/>
      <c r="D4" s="21"/>
      <c r="E4" s="21"/>
      <c r="F4" s="21"/>
      <c r="G4" s="21"/>
      <c r="H4" s="21"/>
    </row>
    <row r="5" spans="1:8" x14ac:dyDescent="0.25">
      <c r="B5" s="21" t="s">
        <v>500</v>
      </c>
      <c r="C5" s="21" t="s">
        <v>508</v>
      </c>
      <c r="D5" s="21"/>
      <c r="E5" s="21"/>
      <c r="F5" s="21"/>
      <c r="G5" s="21"/>
      <c r="H5" s="21"/>
    </row>
    <row r="6" spans="1:8" x14ac:dyDescent="0.25">
      <c r="B6" s="21" t="s">
        <v>501</v>
      </c>
      <c r="C6" s="30">
        <v>0.17</v>
      </c>
      <c r="D6" s="21"/>
      <c r="E6" s="21"/>
      <c r="F6" s="21"/>
      <c r="G6" s="21"/>
      <c r="H6" s="21"/>
    </row>
    <row r="7" spans="1:8" x14ac:dyDescent="0.25">
      <c r="B7" s="21" t="s">
        <v>502</v>
      </c>
      <c r="C7" s="30">
        <v>0.13900000000000001</v>
      </c>
      <c r="D7" s="21"/>
      <c r="E7" s="21"/>
      <c r="F7" s="21"/>
      <c r="G7" s="21"/>
      <c r="H7" s="21"/>
    </row>
    <row r="8" spans="1:8" x14ac:dyDescent="0.25">
      <c r="B8" s="21" t="s">
        <v>503</v>
      </c>
      <c r="C8" s="30">
        <v>0.13900000000000001</v>
      </c>
      <c r="D8" s="21"/>
      <c r="E8" s="21"/>
      <c r="F8" s="21"/>
      <c r="G8" s="21"/>
      <c r="H8" s="21"/>
    </row>
    <row r="9" spans="1:8" x14ac:dyDescent="0.25">
      <c r="B9" s="21" t="s">
        <v>504</v>
      </c>
      <c r="C9" s="30">
        <v>0.123</v>
      </c>
      <c r="D9" s="21"/>
      <c r="E9" s="21"/>
      <c r="F9" s="21"/>
      <c r="G9" s="21"/>
      <c r="H9" s="21"/>
    </row>
    <row r="10" spans="1:8" x14ac:dyDescent="0.25">
      <c r="B10" s="21" t="s">
        <v>505</v>
      </c>
      <c r="C10" s="30">
        <v>0.11</v>
      </c>
      <c r="D10" s="21"/>
      <c r="E10" s="21"/>
      <c r="F10" s="21"/>
      <c r="G10" s="21"/>
      <c r="H10" s="21"/>
    </row>
    <row r="11" spans="1:8" x14ac:dyDescent="0.25">
      <c r="B11" s="21" t="s">
        <v>506</v>
      </c>
      <c r="C11" s="30">
        <v>7.5999999999999998E-2</v>
      </c>
      <c r="D11" s="21"/>
      <c r="E11" s="21"/>
      <c r="F11" s="21"/>
      <c r="G11" s="21"/>
      <c r="H11" s="21"/>
    </row>
    <row r="12" spans="1:8" x14ac:dyDescent="0.25">
      <c r="B12" s="21" t="s">
        <v>507</v>
      </c>
      <c r="C12" s="30">
        <v>7.1999999999999995E-2</v>
      </c>
      <c r="D12" s="21"/>
      <c r="E12" s="21"/>
      <c r="F12" s="21"/>
      <c r="G12" s="21"/>
      <c r="H12" s="21"/>
    </row>
    <row r="14" spans="1:8" x14ac:dyDescent="0.25">
      <c r="B14" t="s">
        <v>510</v>
      </c>
    </row>
    <row r="15" spans="1:8" x14ac:dyDescent="0.25">
      <c r="B15" t="s">
        <v>196</v>
      </c>
      <c r="C15" s="4" t="s">
        <v>512</v>
      </c>
      <c r="E15" s="4" t="s">
        <v>513</v>
      </c>
      <c r="F15" s="21"/>
    </row>
    <row r="16" spans="1:8" x14ac:dyDescent="0.25">
      <c r="C16">
        <v>2007</v>
      </c>
      <c r="D16">
        <v>2013</v>
      </c>
      <c r="E16" s="21">
        <v>2007</v>
      </c>
      <c r="F16" s="21">
        <v>2013</v>
      </c>
    </row>
    <row r="17" spans="1:6" s="21" customFormat="1" x14ac:dyDescent="0.25">
      <c r="B17" s="21" t="s">
        <v>522</v>
      </c>
      <c r="C17" s="21">
        <v>19.7</v>
      </c>
      <c r="D17" s="21">
        <v>7</v>
      </c>
      <c r="E17" s="21">
        <v>19.7</v>
      </c>
      <c r="F17" s="21">
        <v>7.3</v>
      </c>
    </row>
    <row r="18" spans="1:6" x14ac:dyDescent="0.25">
      <c r="B18" t="s">
        <v>480</v>
      </c>
      <c r="C18">
        <v>17.899999999999999</v>
      </c>
      <c r="D18">
        <v>6.6</v>
      </c>
      <c r="E18">
        <v>23.5</v>
      </c>
      <c r="F18">
        <v>6.3</v>
      </c>
    </row>
    <row r="19" spans="1:6" x14ac:dyDescent="0.25">
      <c r="B19" t="s">
        <v>511</v>
      </c>
      <c r="C19">
        <v>18</v>
      </c>
      <c r="D19">
        <v>8.3000000000000007</v>
      </c>
      <c r="E19">
        <v>20.6</v>
      </c>
      <c r="F19">
        <v>7.9</v>
      </c>
    </row>
    <row r="20" spans="1:6" x14ac:dyDescent="0.25">
      <c r="B20" t="s">
        <v>472</v>
      </c>
      <c r="C20">
        <v>19.100000000000001</v>
      </c>
      <c r="D20">
        <v>6.8</v>
      </c>
      <c r="E20">
        <v>21.4</v>
      </c>
      <c r="F20">
        <v>5.5</v>
      </c>
    </row>
    <row r="21" spans="1:6" x14ac:dyDescent="0.25">
      <c r="B21" t="s">
        <v>474</v>
      </c>
      <c r="C21">
        <v>17.600000000000001</v>
      </c>
      <c r="D21">
        <v>7.4</v>
      </c>
      <c r="E21">
        <v>22.1</v>
      </c>
      <c r="F21">
        <v>5.8</v>
      </c>
    </row>
    <row r="22" spans="1:6" x14ac:dyDescent="0.25">
      <c r="B22" t="s">
        <v>481</v>
      </c>
      <c r="C22">
        <v>18.5</v>
      </c>
      <c r="D22">
        <v>4.9000000000000004</v>
      </c>
      <c r="E22">
        <v>17.3</v>
      </c>
      <c r="F22">
        <v>7.1</v>
      </c>
    </row>
    <row r="23" spans="1:6" x14ac:dyDescent="0.25">
      <c r="B23" t="s">
        <v>473</v>
      </c>
      <c r="C23">
        <v>10.1</v>
      </c>
      <c r="D23">
        <v>7.2</v>
      </c>
      <c r="E23">
        <v>23.7</v>
      </c>
      <c r="F23">
        <v>10.9</v>
      </c>
    </row>
    <row r="25" spans="1:6" x14ac:dyDescent="0.25">
      <c r="A25" s="2" t="s">
        <v>514</v>
      </c>
    </row>
    <row r="26" spans="1:6" x14ac:dyDescent="0.25">
      <c r="B26" t="s">
        <v>516</v>
      </c>
    </row>
    <row r="27" spans="1:6" x14ac:dyDescent="0.25">
      <c r="B27" t="s">
        <v>515</v>
      </c>
      <c r="C27" s="12">
        <v>0.158</v>
      </c>
    </row>
    <row r="29" spans="1:6" x14ac:dyDescent="0.25">
      <c r="A29" s="2" t="s">
        <v>518</v>
      </c>
    </row>
    <row r="30" spans="1:6" x14ac:dyDescent="0.25">
      <c r="B30" t="s">
        <v>153</v>
      </c>
    </row>
    <row r="31" spans="1:6" x14ac:dyDescent="0.25">
      <c r="B31" t="s">
        <v>196</v>
      </c>
      <c r="C31" t="s">
        <v>517</v>
      </c>
    </row>
    <row r="32" spans="1:6" s="21" customFormat="1" x14ac:dyDescent="0.25">
      <c r="B32" s="21">
        <v>2011</v>
      </c>
      <c r="C32" s="12">
        <v>0.14940000000000001</v>
      </c>
    </row>
    <row r="33" spans="1:3" x14ac:dyDescent="0.25">
      <c r="B33">
        <v>2012</v>
      </c>
      <c r="C33" s="13">
        <v>0.15740000000000001</v>
      </c>
    </row>
    <row r="34" spans="1:3" x14ac:dyDescent="0.25">
      <c r="B34">
        <v>2013</v>
      </c>
      <c r="C34" s="13">
        <v>0.14299999999999999</v>
      </c>
    </row>
    <row r="35" spans="1:3" x14ac:dyDescent="0.25">
      <c r="B35">
        <v>2015</v>
      </c>
      <c r="C35" s="12">
        <v>8.3000000000000004E-2</v>
      </c>
    </row>
    <row r="37" spans="1:3" x14ac:dyDescent="0.25">
      <c r="A37" s="2" t="s">
        <v>519</v>
      </c>
    </row>
    <row r="38" spans="1:3" x14ac:dyDescent="0.25">
      <c r="B38" t="s">
        <v>266</v>
      </c>
    </row>
    <row r="39" spans="1:3" x14ac:dyDescent="0.25">
      <c r="B39" s="12" t="s">
        <v>520</v>
      </c>
      <c r="C39" s="12">
        <v>0.42799999999999999</v>
      </c>
    </row>
    <row r="40" spans="1:3" x14ac:dyDescent="0.25">
      <c r="B40" t="s">
        <v>521</v>
      </c>
    </row>
    <row r="41" spans="1:3" x14ac:dyDescent="0.25">
      <c r="B41" s="12" t="s">
        <v>520</v>
      </c>
      <c r="C41" s="12">
        <v>0.42099999999999999</v>
      </c>
    </row>
    <row r="43" spans="1:3" x14ac:dyDescent="0.25">
      <c r="A43" s="2" t="s">
        <v>630</v>
      </c>
    </row>
    <row r="44" spans="1:3" x14ac:dyDescent="0.25">
      <c r="B44" t="s">
        <v>631</v>
      </c>
    </row>
    <row r="46" spans="1:3" x14ac:dyDescent="0.25">
      <c r="A46" s="2" t="s">
        <v>706</v>
      </c>
    </row>
    <row r="47" spans="1:3" x14ac:dyDescent="0.25">
      <c r="B47" t="s">
        <v>707</v>
      </c>
    </row>
    <row r="48" spans="1:3" x14ac:dyDescent="0.25">
      <c r="B48" t="s">
        <v>708</v>
      </c>
      <c r="C48" s="12">
        <v>0.95399999999999996</v>
      </c>
    </row>
    <row r="49" spans="1:5" x14ac:dyDescent="0.25">
      <c r="B49" t="s">
        <v>709</v>
      </c>
      <c r="C49" s="12">
        <v>0.93100000000000005</v>
      </c>
      <c r="D49" s="5">
        <f>C49*C48</f>
        <v>0.88817400000000002</v>
      </c>
    </row>
    <row r="50" spans="1:5" x14ac:dyDescent="0.25">
      <c r="B50" t="s">
        <v>710</v>
      </c>
      <c r="C50" s="12">
        <v>0.97799999999999998</v>
      </c>
      <c r="D50" s="18">
        <f>C50*D49</f>
        <v>0.86863417200000004</v>
      </c>
    </row>
    <row r="51" spans="1:5" x14ac:dyDescent="0.25">
      <c r="B51" t="s">
        <v>711</v>
      </c>
      <c r="C51" s="12">
        <v>2.9000000000000001E-2</v>
      </c>
      <c r="D51" s="18">
        <f>C51*D50</f>
        <v>2.5190390988000001E-2</v>
      </c>
    </row>
    <row r="52" spans="1:5" x14ac:dyDescent="0.25">
      <c r="D52" t="s">
        <v>575</v>
      </c>
      <c r="E52" t="s">
        <v>576</v>
      </c>
    </row>
    <row r="53" spans="1:5" x14ac:dyDescent="0.25">
      <c r="B53" t="s">
        <v>712</v>
      </c>
      <c r="C53" s="12">
        <v>0.82499999999999996</v>
      </c>
    </row>
    <row r="54" spans="1:5" x14ac:dyDescent="0.25">
      <c r="B54" t="s">
        <v>713</v>
      </c>
      <c r="C54" s="12">
        <v>0.151</v>
      </c>
      <c r="D54" s="18">
        <v>2.4E-2</v>
      </c>
      <c r="E54" s="19">
        <v>0.27800000000000002</v>
      </c>
    </row>
    <row r="56" spans="1:5" x14ac:dyDescent="0.25">
      <c r="A56" s="2" t="s">
        <v>714</v>
      </c>
    </row>
    <row r="57" spans="1:5" x14ac:dyDescent="0.25">
      <c r="B57" t="s">
        <v>715</v>
      </c>
    </row>
    <row r="58" spans="1:5" x14ac:dyDescent="0.25">
      <c r="B58" t="s">
        <v>978</v>
      </c>
      <c r="C58" s="12">
        <v>5.8999999999999997E-2</v>
      </c>
    </row>
    <row r="59" spans="1:5" x14ac:dyDescent="0.25">
      <c r="B59" t="s">
        <v>716</v>
      </c>
      <c r="C59" s="12">
        <v>4.2999999999999997E-2</v>
      </c>
    </row>
    <row r="60" spans="1:5" x14ac:dyDescent="0.25">
      <c r="B60">
        <v>2013</v>
      </c>
      <c r="C60">
        <v>5.9</v>
      </c>
    </row>
    <row r="61" spans="1:5" x14ac:dyDescent="0.25">
      <c r="B61">
        <v>2014</v>
      </c>
      <c r="C61">
        <v>5.0999999999999996</v>
      </c>
    </row>
    <row r="62" spans="1:5" x14ac:dyDescent="0.25">
      <c r="B62">
        <v>2015</v>
      </c>
      <c r="C62">
        <v>3.2</v>
      </c>
    </row>
    <row r="63" spans="1:5" x14ac:dyDescent="0.25">
      <c r="B63">
        <v>2016</v>
      </c>
      <c r="C63">
        <v>2.5</v>
      </c>
    </row>
    <row r="65" spans="1:7" x14ac:dyDescent="0.25">
      <c r="A65" s="2" t="s">
        <v>719</v>
      </c>
    </row>
    <row r="66" spans="1:7" x14ac:dyDescent="0.25">
      <c r="B66" t="s">
        <v>717</v>
      </c>
    </row>
    <row r="67" spans="1:7" x14ac:dyDescent="0.25">
      <c r="B67" t="s">
        <v>718</v>
      </c>
      <c r="C67">
        <v>9.3000000000000007</v>
      </c>
    </row>
    <row r="69" spans="1:7" x14ac:dyDescent="0.25">
      <c r="A69" s="2" t="s">
        <v>777</v>
      </c>
    </row>
    <row r="70" spans="1:7" x14ac:dyDescent="0.25">
      <c r="B70" t="s">
        <v>720</v>
      </c>
    </row>
    <row r="71" spans="1:7" x14ac:dyDescent="0.25">
      <c r="B71" t="s">
        <v>722</v>
      </c>
      <c r="C71" t="s">
        <v>721</v>
      </c>
      <c r="D71" t="s">
        <v>575</v>
      </c>
      <c r="E71" t="s">
        <v>576</v>
      </c>
    </row>
    <row r="72" spans="1:7" x14ac:dyDescent="0.25">
      <c r="B72" t="s">
        <v>723</v>
      </c>
      <c r="C72" s="13">
        <v>0.05</v>
      </c>
      <c r="D72">
        <v>3.4</v>
      </c>
      <c r="E72">
        <v>7.4</v>
      </c>
    </row>
    <row r="73" spans="1:7" x14ac:dyDescent="0.25">
      <c r="B73">
        <v>12</v>
      </c>
      <c r="C73" s="12">
        <v>5.7000000000000002E-2</v>
      </c>
      <c r="D73">
        <v>4</v>
      </c>
      <c r="E73">
        <v>8.3000000000000007</v>
      </c>
    </row>
    <row r="74" spans="1:7" x14ac:dyDescent="0.25">
      <c r="B74">
        <v>18</v>
      </c>
      <c r="C74">
        <v>6.7</v>
      </c>
      <c r="D74">
        <v>4.8</v>
      </c>
      <c r="E74">
        <v>9.4</v>
      </c>
    </row>
    <row r="75" spans="1:7" x14ac:dyDescent="0.25">
      <c r="B75">
        <v>24</v>
      </c>
      <c r="C75">
        <v>7</v>
      </c>
      <c r="D75">
        <v>5</v>
      </c>
      <c r="E75">
        <v>9.6999999999999993</v>
      </c>
    </row>
    <row r="77" spans="1:7" x14ac:dyDescent="0.25">
      <c r="B77" s="37" t="s">
        <v>749</v>
      </c>
    </row>
    <row r="78" spans="1:7" x14ac:dyDescent="0.25">
      <c r="C78" t="s">
        <v>744</v>
      </c>
      <c r="D78" t="s">
        <v>745</v>
      </c>
      <c r="E78" t="s">
        <v>746</v>
      </c>
      <c r="F78" t="s">
        <v>747</v>
      </c>
      <c r="G78" t="s">
        <v>748</v>
      </c>
    </row>
    <row r="79" spans="1:7" x14ac:dyDescent="0.25">
      <c r="B79" t="s">
        <v>426</v>
      </c>
      <c r="C79" t="s">
        <v>724</v>
      </c>
      <c r="D79" t="s">
        <v>725</v>
      </c>
      <c r="E79" t="s">
        <v>726</v>
      </c>
      <c r="F79" t="s">
        <v>727</v>
      </c>
      <c r="G79" t="s">
        <v>727</v>
      </c>
    </row>
    <row r="80" spans="1:7" x14ac:dyDescent="0.25">
      <c r="B80" t="s">
        <v>728</v>
      </c>
      <c r="C80" t="s">
        <v>729</v>
      </c>
      <c r="D80" t="s">
        <v>730</v>
      </c>
      <c r="E80" t="s">
        <v>731</v>
      </c>
      <c r="F80" t="s">
        <v>732</v>
      </c>
      <c r="G80" t="s">
        <v>733</v>
      </c>
    </row>
    <row r="81" spans="2:7" x14ac:dyDescent="0.25">
      <c r="B81" t="s">
        <v>734</v>
      </c>
      <c r="C81" t="s">
        <v>735</v>
      </c>
      <c r="D81" t="s">
        <v>736</v>
      </c>
      <c r="E81" t="s">
        <v>736</v>
      </c>
      <c r="F81" t="s">
        <v>737</v>
      </c>
      <c r="G81" t="s">
        <v>737</v>
      </c>
    </row>
    <row r="82" spans="2:7" x14ac:dyDescent="0.25">
      <c r="B82" t="s">
        <v>738</v>
      </c>
      <c r="C82" t="s">
        <v>739</v>
      </c>
      <c r="D82" t="s">
        <v>740</v>
      </c>
      <c r="E82" t="s">
        <v>741</v>
      </c>
      <c r="F82" t="s">
        <v>742</v>
      </c>
      <c r="G82" t="s">
        <v>743</v>
      </c>
    </row>
    <row r="83" spans="2:7" x14ac:dyDescent="0.25">
      <c r="B83" t="s">
        <v>734</v>
      </c>
      <c r="C83" t="s">
        <v>735</v>
      </c>
      <c r="D83" t="s">
        <v>736</v>
      </c>
      <c r="E83" t="s">
        <v>736</v>
      </c>
      <c r="F83" t="s">
        <v>737</v>
      </c>
      <c r="G83" t="s">
        <v>737</v>
      </c>
    </row>
    <row r="85" spans="2:7" x14ac:dyDescent="0.25">
      <c r="B85" t="s">
        <v>750</v>
      </c>
      <c r="C85" t="s">
        <v>751</v>
      </c>
      <c r="D85" t="s">
        <v>751</v>
      </c>
      <c r="E85" t="s">
        <v>751</v>
      </c>
      <c r="F85" t="s">
        <v>751</v>
      </c>
      <c r="G85" t="s">
        <v>751</v>
      </c>
    </row>
    <row r="86" spans="2:7" x14ac:dyDescent="0.25">
      <c r="B86" t="s">
        <v>752</v>
      </c>
      <c r="C86" t="s">
        <v>753</v>
      </c>
      <c r="D86" t="s">
        <v>754</v>
      </c>
      <c r="E86" t="s">
        <v>755</v>
      </c>
      <c r="F86" t="s">
        <v>755</v>
      </c>
      <c r="G86" t="s">
        <v>755</v>
      </c>
    </row>
    <row r="87" spans="2:7" x14ac:dyDescent="0.25">
      <c r="B87" t="s">
        <v>756</v>
      </c>
      <c r="C87" t="s">
        <v>757</v>
      </c>
      <c r="D87" t="s">
        <v>758</v>
      </c>
      <c r="E87" t="s">
        <v>759</v>
      </c>
      <c r="F87" t="s">
        <v>760</v>
      </c>
      <c r="G87" t="s">
        <v>760</v>
      </c>
    </row>
    <row r="88" spans="2:7" x14ac:dyDescent="0.25">
      <c r="B88" t="s">
        <v>761</v>
      </c>
      <c r="C88" t="s">
        <v>762</v>
      </c>
      <c r="D88" t="s">
        <v>763</v>
      </c>
      <c r="E88" t="s">
        <v>764</v>
      </c>
      <c r="F88" t="s">
        <v>765</v>
      </c>
      <c r="G88" t="s">
        <v>766</v>
      </c>
    </row>
    <row r="89" spans="2:7" x14ac:dyDescent="0.25">
      <c r="B89" t="s">
        <v>767</v>
      </c>
      <c r="C89" t="s">
        <v>768</v>
      </c>
      <c r="D89" t="s">
        <v>769</v>
      </c>
      <c r="E89" t="s">
        <v>770</v>
      </c>
      <c r="F89" t="s">
        <v>770</v>
      </c>
      <c r="G89" t="s">
        <v>770</v>
      </c>
    </row>
    <row r="90" spans="2:7" x14ac:dyDescent="0.25">
      <c r="B90" t="s">
        <v>771</v>
      </c>
      <c r="C90" t="s">
        <v>772</v>
      </c>
      <c r="D90" t="s">
        <v>773</v>
      </c>
      <c r="E90" t="s">
        <v>774</v>
      </c>
      <c r="F90" t="s">
        <v>775</v>
      </c>
      <c r="G90" t="s">
        <v>776</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
  <sheetViews>
    <sheetView workbookViewId="0">
      <selection activeCell="H29" sqref="H29"/>
    </sheetView>
  </sheetViews>
  <sheetFormatPr defaultRowHeight="15" x14ac:dyDescent="0.25"/>
  <cols>
    <col min="1" max="1" width="10.7109375" customWidth="1"/>
    <col min="3" max="3" width="13.85546875" customWidth="1"/>
    <col min="4" max="4" width="14.5703125" customWidth="1"/>
    <col min="5" max="5" width="15.42578125" customWidth="1"/>
    <col min="7" max="7" width="15.7109375" customWidth="1"/>
    <col min="8" max="8" width="10.7109375" customWidth="1"/>
    <col min="9" max="9" width="15.85546875" customWidth="1"/>
    <col min="10" max="10" width="18.28515625" customWidth="1"/>
    <col min="11" max="11" width="14.140625" customWidth="1"/>
    <col min="12" max="12" width="16" customWidth="1"/>
    <col min="13" max="13" width="14.28515625" customWidth="1"/>
    <col min="14" max="14" width="17.42578125" customWidth="1"/>
    <col min="15" max="15" width="22" customWidth="1"/>
    <col min="16" max="16" width="14.85546875" customWidth="1"/>
    <col min="17" max="17" width="17.710937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v>118.9</v>
      </c>
      <c r="G2" t="s">
        <v>22</v>
      </c>
      <c r="H2">
        <v>96.7</v>
      </c>
      <c r="I2" t="s">
        <v>23</v>
      </c>
      <c r="J2">
        <v>-18.7</v>
      </c>
      <c r="K2" t="s">
        <v>24</v>
      </c>
      <c r="L2">
        <v>6819195</v>
      </c>
      <c r="M2" t="s">
        <v>25</v>
      </c>
      <c r="N2">
        <v>6962970</v>
      </c>
      <c r="O2" t="s">
        <v>26</v>
      </c>
      <c r="P2">
        <v>2.1</v>
      </c>
      <c r="Q2" t="s">
        <v>27</v>
      </c>
    </row>
    <row r="3" spans="1:17" x14ac:dyDescent="0.25">
      <c r="A3" t="s">
        <v>17</v>
      </c>
      <c r="B3" t="s">
        <v>18</v>
      </c>
      <c r="C3" t="s">
        <v>28</v>
      </c>
      <c r="D3" t="s">
        <v>29</v>
      </c>
      <c r="E3" t="s">
        <v>21</v>
      </c>
      <c r="F3">
        <v>437.4</v>
      </c>
      <c r="G3" t="s">
        <v>30</v>
      </c>
      <c r="H3">
        <v>416.2</v>
      </c>
      <c r="I3" t="s">
        <v>31</v>
      </c>
      <c r="J3">
        <v>-4.9000000000000004</v>
      </c>
      <c r="K3" t="s">
        <v>32</v>
      </c>
      <c r="L3">
        <v>62765</v>
      </c>
      <c r="M3" t="s">
        <v>33</v>
      </c>
      <c r="N3">
        <v>85799</v>
      </c>
      <c r="O3" t="s">
        <v>34</v>
      </c>
      <c r="P3">
        <v>36.700000000000003</v>
      </c>
      <c r="Q3" t="s">
        <v>35</v>
      </c>
    </row>
    <row r="4" spans="1:17" x14ac:dyDescent="0.25">
      <c r="A4" t="s">
        <v>17</v>
      </c>
      <c r="B4" t="s">
        <v>36</v>
      </c>
      <c r="C4" t="s">
        <v>28</v>
      </c>
      <c r="D4" t="s">
        <v>29</v>
      </c>
      <c r="E4" t="s">
        <v>21</v>
      </c>
      <c r="F4">
        <v>833.3</v>
      </c>
      <c r="G4" t="s">
        <v>37</v>
      </c>
      <c r="H4">
        <v>793.5</v>
      </c>
      <c r="I4" t="s">
        <v>38</v>
      </c>
      <c r="J4">
        <v>-4.8</v>
      </c>
      <c r="K4" t="s">
        <v>39</v>
      </c>
      <c r="L4">
        <v>62765</v>
      </c>
      <c r="M4" t="s">
        <v>33</v>
      </c>
      <c r="N4">
        <v>85799</v>
      </c>
      <c r="O4" t="s">
        <v>34</v>
      </c>
      <c r="P4">
        <v>36.700000000000003</v>
      </c>
      <c r="Q4" t="s">
        <v>35</v>
      </c>
    </row>
    <row r="5" spans="1:17" x14ac:dyDescent="0.25">
      <c r="A5" t="s">
        <v>40</v>
      </c>
      <c r="B5" t="s">
        <v>18</v>
      </c>
      <c r="C5" t="s">
        <v>19</v>
      </c>
      <c r="D5" t="s">
        <v>20</v>
      </c>
      <c r="E5" t="s">
        <v>21</v>
      </c>
      <c r="F5">
        <v>9.1999999999999993</v>
      </c>
      <c r="G5" t="s">
        <v>41</v>
      </c>
      <c r="H5">
        <v>7.3</v>
      </c>
      <c r="I5" t="s">
        <v>42</v>
      </c>
      <c r="J5">
        <v>-20.5</v>
      </c>
      <c r="K5" t="s">
        <v>43</v>
      </c>
      <c r="L5">
        <v>532132</v>
      </c>
      <c r="M5" t="s">
        <v>44</v>
      </c>
      <c r="N5">
        <v>525908</v>
      </c>
      <c r="O5" t="s">
        <v>45</v>
      </c>
      <c r="P5">
        <v>-1.2</v>
      </c>
      <c r="Q5" t="s">
        <v>46</v>
      </c>
    </row>
    <row r="6" spans="1:17" x14ac:dyDescent="0.25">
      <c r="A6" t="s">
        <v>40</v>
      </c>
      <c r="B6" t="s">
        <v>18</v>
      </c>
      <c r="C6" t="s">
        <v>28</v>
      </c>
      <c r="D6" t="s">
        <v>29</v>
      </c>
      <c r="E6" t="s">
        <v>21</v>
      </c>
      <c r="F6">
        <v>25.1</v>
      </c>
      <c r="G6" t="s">
        <v>47</v>
      </c>
      <c r="H6">
        <v>23.8</v>
      </c>
      <c r="I6" t="s">
        <v>48</v>
      </c>
      <c r="J6">
        <v>-5.5</v>
      </c>
      <c r="K6" t="s">
        <v>49</v>
      </c>
      <c r="L6">
        <v>3792</v>
      </c>
      <c r="M6" t="s">
        <v>50</v>
      </c>
      <c r="N6">
        <v>5070</v>
      </c>
      <c r="O6" t="s">
        <v>51</v>
      </c>
      <c r="P6">
        <v>33.700000000000003</v>
      </c>
      <c r="Q6" t="s">
        <v>52</v>
      </c>
    </row>
    <row r="7" spans="1:17" x14ac:dyDescent="0.25">
      <c r="A7" t="s">
        <v>40</v>
      </c>
      <c r="B7" t="s">
        <v>36</v>
      </c>
      <c r="C7" t="s">
        <v>28</v>
      </c>
      <c r="D7" t="s">
        <v>29</v>
      </c>
      <c r="E7" t="s">
        <v>21</v>
      </c>
      <c r="F7">
        <v>48</v>
      </c>
      <c r="G7" t="s">
        <v>53</v>
      </c>
      <c r="H7">
        <v>45.5</v>
      </c>
      <c r="I7" t="s">
        <v>54</v>
      </c>
      <c r="J7">
        <v>-5.3</v>
      </c>
      <c r="K7" t="s">
        <v>55</v>
      </c>
      <c r="L7">
        <v>3792</v>
      </c>
      <c r="M7" t="s">
        <v>50</v>
      </c>
      <c r="N7">
        <v>5070</v>
      </c>
      <c r="O7" t="s">
        <v>51</v>
      </c>
      <c r="P7">
        <v>33.700000000000003</v>
      </c>
      <c r="Q7" t="s">
        <v>52</v>
      </c>
    </row>
    <row r="8" spans="1:17" x14ac:dyDescent="0.25">
      <c r="A8" t="s">
        <v>56</v>
      </c>
      <c r="B8" t="s">
        <v>18</v>
      </c>
      <c r="C8" t="s">
        <v>19</v>
      </c>
      <c r="D8" t="s">
        <v>20</v>
      </c>
      <c r="E8" t="s">
        <v>21</v>
      </c>
      <c r="F8">
        <v>4.2</v>
      </c>
      <c r="G8" t="s">
        <v>57</v>
      </c>
      <c r="H8">
        <v>3.5</v>
      </c>
      <c r="I8" t="s">
        <v>58</v>
      </c>
      <c r="J8">
        <v>-17.8</v>
      </c>
      <c r="K8" t="s">
        <v>59</v>
      </c>
      <c r="L8">
        <v>225446</v>
      </c>
      <c r="M8" t="s">
        <v>60</v>
      </c>
      <c r="N8">
        <v>238621</v>
      </c>
      <c r="O8" t="s">
        <v>61</v>
      </c>
      <c r="P8">
        <v>5.7</v>
      </c>
      <c r="Q8" t="s">
        <v>62</v>
      </c>
    </row>
    <row r="9" spans="1:17" x14ac:dyDescent="0.25">
      <c r="A9" t="s">
        <v>56</v>
      </c>
      <c r="B9" t="s">
        <v>18</v>
      </c>
      <c r="C9" t="s">
        <v>28</v>
      </c>
      <c r="D9" t="s">
        <v>29</v>
      </c>
      <c r="E9" t="s">
        <v>21</v>
      </c>
      <c r="F9">
        <v>16.2</v>
      </c>
      <c r="G9" t="s">
        <v>63</v>
      </c>
      <c r="H9">
        <v>15.4</v>
      </c>
      <c r="I9" t="s">
        <v>64</v>
      </c>
      <c r="J9">
        <v>-4.9000000000000004</v>
      </c>
      <c r="K9" t="s">
        <v>65</v>
      </c>
      <c r="L9">
        <v>2132</v>
      </c>
      <c r="M9" t="s">
        <v>66</v>
      </c>
      <c r="N9">
        <v>2899</v>
      </c>
      <c r="O9" t="s">
        <v>67</v>
      </c>
      <c r="P9">
        <v>35.5</v>
      </c>
      <c r="Q9" t="s">
        <v>68</v>
      </c>
    </row>
    <row r="10" spans="1:17" x14ac:dyDescent="0.25">
      <c r="A10" t="s">
        <v>56</v>
      </c>
      <c r="B10" t="s">
        <v>36</v>
      </c>
      <c r="C10" t="s">
        <v>28</v>
      </c>
      <c r="D10" t="s">
        <v>29</v>
      </c>
      <c r="E10" t="s">
        <v>21</v>
      </c>
      <c r="F10">
        <v>30.7</v>
      </c>
      <c r="G10" t="s">
        <v>69</v>
      </c>
      <c r="H10">
        <v>29.2</v>
      </c>
      <c r="I10" t="s">
        <v>70</v>
      </c>
      <c r="J10">
        <v>-5.3</v>
      </c>
      <c r="K10" t="s">
        <v>71</v>
      </c>
      <c r="L10">
        <v>2132</v>
      </c>
      <c r="M10" t="s">
        <v>66</v>
      </c>
      <c r="N10">
        <v>2899</v>
      </c>
      <c r="O10" t="s">
        <v>67</v>
      </c>
      <c r="P10">
        <v>35.5</v>
      </c>
      <c r="Q10" t="s">
        <v>68</v>
      </c>
    </row>
    <row r="12" spans="1:17" x14ac:dyDescent="0.25">
      <c r="A12" t="s">
        <v>72</v>
      </c>
    </row>
    <row r="13" spans="1:17" x14ac:dyDescent="0.25">
      <c r="A13" t="s">
        <v>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6"/>
  <sheetViews>
    <sheetView topLeftCell="A166" workbookViewId="0">
      <selection activeCell="B174" sqref="B174"/>
    </sheetView>
  </sheetViews>
  <sheetFormatPr defaultRowHeight="15" x14ac:dyDescent="0.25"/>
  <cols>
    <col min="4" max="4" width="9.5703125" bestFit="1" customWidth="1"/>
    <col min="5" max="5" width="13" customWidth="1"/>
    <col min="6" max="6" width="9.28515625" bestFit="1" customWidth="1"/>
    <col min="12" max="12" width="12" bestFit="1" customWidth="1"/>
  </cols>
  <sheetData>
    <row r="1" spans="1:4" s="21" customFormat="1" x14ac:dyDescent="0.25">
      <c r="A1" s="2" t="s">
        <v>390</v>
      </c>
    </row>
    <row r="2" spans="1:4" s="21" customFormat="1" x14ac:dyDescent="0.25">
      <c r="B2" s="21" t="s">
        <v>465</v>
      </c>
    </row>
    <row r="3" spans="1:4" s="21" customFormat="1" x14ac:dyDescent="0.25">
      <c r="B3" s="21" t="s">
        <v>80</v>
      </c>
      <c r="C3" s="21" t="s">
        <v>215</v>
      </c>
      <c r="D3" s="21" t="s">
        <v>217</v>
      </c>
    </row>
    <row r="4" spans="1:4" s="21" customFormat="1" x14ac:dyDescent="0.25">
      <c r="B4" s="21" t="s">
        <v>137</v>
      </c>
      <c r="C4" s="21">
        <v>1.5</v>
      </c>
      <c r="D4" s="21">
        <v>7.3</v>
      </c>
    </row>
    <row r="5" spans="1:4" s="21" customFormat="1" x14ac:dyDescent="0.25">
      <c r="B5" s="21" t="s">
        <v>138</v>
      </c>
      <c r="C5" s="21">
        <v>1.8</v>
      </c>
      <c r="D5" s="21">
        <v>16.399999999999999</v>
      </c>
    </row>
    <row r="6" spans="1:4" s="21" customFormat="1" x14ac:dyDescent="0.25">
      <c r="B6" s="21" t="s">
        <v>139</v>
      </c>
      <c r="C6" s="21">
        <v>1.9</v>
      </c>
      <c r="D6" s="21">
        <v>13.1</v>
      </c>
    </row>
    <row r="7" spans="1:4" s="21" customFormat="1" x14ac:dyDescent="0.25">
      <c r="B7" s="21" t="s">
        <v>156</v>
      </c>
      <c r="C7" s="21">
        <v>1.7</v>
      </c>
      <c r="D7" s="21">
        <v>12.5</v>
      </c>
    </row>
    <row r="8" spans="1:4" s="21" customFormat="1" x14ac:dyDescent="0.25">
      <c r="B8" s="21" t="s">
        <v>157</v>
      </c>
      <c r="C8" s="21">
        <v>2</v>
      </c>
      <c r="D8" s="21">
        <v>10.199999999999999</v>
      </c>
    </row>
    <row r="9" spans="1:4" s="21" customFormat="1" x14ac:dyDescent="0.25">
      <c r="B9" s="21" t="s">
        <v>153</v>
      </c>
      <c r="C9" s="21">
        <v>1.7</v>
      </c>
      <c r="D9" s="21">
        <v>11.7</v>
      </c>
    </row>
    <row r="10" spans="1:4" s="21" customFormat="1" x14ac:dyDescent="0.25">
      <c r="B10" s="21" t="s">
        <v>158</v>
      </c>
      <c r="C10" s="21">
        <v>3.4</v>
      </c>
      <c r="D10" s="21">
        <v>15.2</v>
      </c>
    </row>
    <row r="11" spans="1:4" s="21" customFormat="1" x14ac:dyDescent="0.25"/>
    <row r="12" spans="1:4" x14ac:dyDescent="0.25">
      <c r="A12" s="2" t="s">
        <v>133</v>
      </c>
    </row>
    <row r="13" spans="1:4" x14ac:dyDescent="0.25">
      <c r="B13" t="s">
        <v>134</v>
      </c>
    </row>
    <row r="14" spans="1:4" x14ac:dyDescent="0.25">
      <c r="B14" t="s">
        <v>135</v>
      </c>
    </row>
    <row r="17" spans="2:10" x14ac:dyDescent="0.25">
      <c r="B17" t="s">
        <v>233</v>
      </c>
    </row>
    <row r="18" spans="2:10" x14ac:dyDescent="0.25">
      <c r="B18" t="s">
        <v>80</v>
      </c>
      <c r="C18" t="s">
        <v>159</v>
      </c>
      <c r="D18" t="s">
        <v>160</v>
      </c>
      <c r="E18" t="s">
        <v>161</v>
      </c>
      <c r="F18" t="s">
        <v>389</v>
      </c>
      <c r="G18" t="s">
        <v>162</v>
      </c>
      <c r="H18" t="s">
        <v>163</v>
      </c>
      <c r="I18" t="s">
        <v>164</v>
      </c>
      <c r="J18" t="s">
        <v>165</v>
      </c>
    </row>
    <row r="19" spans="2:10" x14ac:dyDescent="0.25">
      <c r="B19" t="s">
        <v>155</v>
      </c>
      <c r="C19">
        <v>1.5</v>
      </c>
      <c r="D19">
        <v>1.8</v>
      </c>
      <c r="E19">
        <v>9.6</v>
      </c>
      <c r="F19">
        <v>4.4000000000000004</v>
      </c>
      <c r="G19">
        <v>0.6</v>
      </c>
      <c r="H19">
        <v>5.6</v>
      </c>
      <c r="I19">
        <v>4</v>
      </c>
      <c r="J19">
        <v>1.9</v>
      </c>
    </row>
    <row r="20" spans="2:10" x14ac:dyDescent="0.25">
      <c r="B20" t="s">
        <v>137</v>
      </c>
      <c r="C20">
        <v>1</v>
      </c>
      <c r="D20">
        <v>1.5</v>
      </c>
      <c r="E20">
        <v>3.7</v>
      </c>
      <c r="F20">
        <v>2.8</v>
      </c>
      <c r="G20">
        <v>0.5</v>
      </c>
      <c r="H20">
        <v>2.1</v>
      </c>
      <c r="I20">
        <v>2.2000000000000002</v>
      </c>
      <c r="J20">
        <v>1.4</v>
      </c>
    </row>
    <row r="21" spans="2:10" x14ac:dyDescent="0.25">
      <c r="B21" t="s">
        <v>138</v>
      </c>
      <c r="C21">
        <v>2</v>
      </c>
      <c r="D21">
        <v>1.9</v>
      </c>
      <c r="E21">
        <v>16.7</v>
      </c>
      <c r="F21">
        <v>5.2</v>
      </c>
      <c r="G21">
        <v>0.7</v>
      </c>
      <c r="H21">
        <v>9.6999999999999993</v>
      </c>
      <c r="I21">
        <v>6.1</v>
      </c>
      <c r="J21">
        <v>2.5</v>
      </c>
    </row>
    <row r="22" spans="2:10" x14ac:dyDescent="0.25">
      <c r="B22" t="s">
        <v>139</v>
      </c>
      <c r="C22">
        <v>1.3</v>
      </c>
      <c r="D22">
        <v>2.1</v>
      </c>
      <c r="E22">
        <v>17.3</v>
      </c>
      <c r="F22">
        <v>6.3</v>
      </c>
      <c r="G22">
        <v>0.9</v>
      </c>
      <c r="H22">
        <v>12.2</v>
      </c>
      <c r="I22">
        <v>10.3</v>
      </c>
      <c r="J22">
        <v>2.5</v>
      </c>
    </row>
    <row r="23" spans="2:10" x14ac:dyDescent="0.25">
      <c r="B23" t="s">
        <v>156</v>
      </c>
      <c r="C23">
        <v>1.6</v>
      </c>
      <c r="D23">
        <v>2.2000000000000002</v>
      </c>
      <c r="E23">
        <v>14.6</v>
      </c>
      <c r="F23">
        <v>7.6</v>
      </c>
      <c r="G23">
        <v>0.7</v>
      </c>
      <c r="H23">
        <v>12.5</v>
      </c>
      <c r="I23">
        <v>12.8</v>
      </c>
      <c r="J23">
        <v>3.4</v>
      </c>
    </row>
    <row r="24" spans="2:10" x14ac:dyDescent="0.25">
      <c r="B24" t="s">
        <v>157</v>
      </c>
      <c r="C24">
        <v>0.9</v>
      </c>
      <c r="D24">
        <v>2.5</v>
      </c>
      <c r="E24">
        <v>11.9</v>
      </c>
      <c r="F24">
        <v>9.8000000000000007</v>
      </c>
      <c r="G24">
        <v>0.8</v>
      </c>
      <c r="H24">
        <v>10.4</v>
      </c>
      <c r="I24">
        <v>10.9</v>
      </c>
      <c r="J24">
        <v>2.4</v>
      </c>
    </row>
    <row r="25" spans="2:10" x14ac:dyDescent="0.25">
      <c r="B25" t="s">
        <v>144</v>
      </c>
      <c r="C25">
        <v>1.4</v>
      </c>
      <c r="D25">
        <v>2.1</v>
      </c>
      <c r="E25">
        <v>12.7</v>
      </c>
      <c r="F25">
        <v>6.8</v>
      </c>
      <c r="G25">
        <v>0.7</v>
      </c>
      <c r="H25">
        <v>9.4</v>
      </c>
      <c r="I25">
        <v>8.6</v>
      </c>
      <c r="J25">
        <v>2.5</v>
      </c>
    </row>
    <row r="26" spans="2:10" x14ac:dyDescent="0.25">
      <c r="B26" t="s">
        <v>158</v>
      </c>
      <c r="C26">
        <v>1.4</v>
      </c>
      <c r="D26">
        <v>2.2000000000000002</v>
      </c>
      <c r="E26">
        <v>18.399999999999999</v>
      </c>
      <c r="F26">
        <v>7.1</v>
      </c>
      <c r="I26">
        <v>9.1</v>
      </c>
      <c r="J26">
        <v>4.3</v>
      </c>
    </row>
    <row r="28" spans="2:10" x14ac:dyDescent="0.25">
      <c r="C28" t="s">
        <v>175</v>
      </c>
      <c r="H28" t="s">
        <v>174</v>
      </c>
    </row>
    <row r="29" spans="2:10" x14ac:dyDescent="0.25">
      <c r="B29" t="s">
        <v>80</v>
      </c>
      <c r="C29" t="s">
        <v>168</v>
      </c>
      <c r="D29" t="s">
        <v>173</v>
      </c>
      <c r="G29" t="s">
        <v>80</v>
      </c>
      <c r="H29" t="s">
        <v>168</v>
      </c>
      <c r="I29" t="s">
        <v>173</v>
      </c>
    </row>
    <row r="30" spans="2:10" x14ac:dyDescent="0.25">
      <c r="B30" t="s">
        <v>137</v>
      </c>
      <c r="C30">
        <v>10.7</v>
      </c>
      <c r="D30">
        <v>19.600000000000001</v>
      </c>
      <c r="G30" t="s">
        <v>137</v>
      </c>
      <c r="H30">
        <v>1</v>
      </c>
      <c r="I30">
        <v>3.7</v>
      </c>
    </row>
    <row r="31" spans="2:10" x14ac:dyDescent="0.25">
      <c r="B31" t="s">
        <v>169</v>
      </c>
      <c r="C31">
        <v>10.6</v>
      </c>
      <c r="D31">
        <v>17.899999999999999</v>
      </c>
      <c r="G31" t="s">
        <v>169</v>
      </c>
      <c r="H31">
        <v>0.7</v>
      </c>
      <c r="I31">
        <v>1.8</v>
      </c>
    </row>
    <row r="32" spans="2:10" x14ac:dyDescent="0.25">
      <c r="B32" t="s">
        <v>170</v>
      </c>
      <c r="C32">
        <v>10.8</v>
      </c>
      <c r="D32">
        <v>22.2</v>
      </c>
      <c r="G32" t="s">
        <v>170</v>
      </c>
      <c r="H32">
        <v>1.5</v>
      </c>
      <c r="I32">
        <v>6.7</v>
      </c>
    </row>
    <row r="33" spans="2:9" x14ac:dyDescent="0.25">
      <c r="B33" t="s">
        <v>138</v>
      </c>
      <c r="C33">
        <v>13.6</v>
      </c>
      <c r="D33">
        <v>22.6</v>
      </c>
      <c r="G33" t="s">
        <v>138</v>
      </c>
      <c r="H33">
        <v>2</v>
      </c>
      <c r="I33">
        <v>16.7</v>
      </c>
    </row>
    <row r="34" spans="2:9" x14ac:dyDescent="0.25">
      <c r="B34" t="s">
        <v>171</v>
      </c>
      <c r="C34">
        <v>14</v>
      </c>
      <c r="D34">
        <v>22</v>
      </c>
      <c r="G34" t="s">
        <v>171</v>
      </c>
      <c r="H34">
        <v>1.8</v>
      </c>
      <c r="I34">
        <v>16.600000000000001</v>
      </c>
    </row>
    <row r="35" spans="2:9" x14ac:dyDescent="0.25">
      <c r="B35" t="s">
        <v>172</v>
      </c>
      <c r="C35">
        <v>12.8</v>
      </c>
      <c r="D35">
        <v>23.6</v>
      </c>
      <c r="G35" t="s">
        <v>172</v>
      </c>
      <c r="H35">
        <v>2.5</v>
      </c>
      <c r="I35">
        <v>16.8</v>
      </c>
    </row>
    <row r="36" spans="2:9" x14ac:dyDescent="0.25">
      <c r="B36" t="s">
        <v>144</v>
      </c>
      <c r="C36">
        <v>12.1</v>
      </c>
      <c r="D36">
        <v>21</v>
      </c>
      <c r="G36" t="s">
        <v>144</v>
      </c>
      <c r="H36">
        <v>1.5</v>
      </c>
      <c r="I36">
        <v>9.6</v>
      </c>
    </row>
    <row r="37" spans="2:9" x14ac:dyDescent="0.25">
      <c r="B37" t="s">
        <v>158</v>
      </c>
      <c r="C37">
        <v>20.9</v>
      </c>
      <c r="D37">
        <v>26.5</v>
      </c>
    </row>
    <row r="40" spans="2:9" x14ac:dyDescent="0.25">
      <c r="C40" t="s">
        <v>176</v>
      </c>
    </row>
    <row r="41" spans="2:9" x14ac:dyDescent="0.25">
      <c r="B41" t="s">
        <v>80</v>
      </c>
      <c r="C41" t="s">
        <v>177</v>
      </c>
      <c r="D41" t="s">
        <v>178</v>
      </c>
    </row>
    <row r="42" spans="2:9" x14ac:dyDescent="0.25">
      <c r="B42" t="s">
        <v>137</v>
      </c>
      <c r="C42">
        <v>64.599999999999994</v>
      </c>
      <c r="D42">
        <v>40.1</v>
      </c>
    </row>
    <row r="43" spans="2:9" x14ac:dyDescent="0.25">
      <c r="B43" t="s">
        <v>169</v>
      </c>
      <c r="C43">
        <v>60.9</v>
      </c>
      <c r="D43">
        <v>33.299999999999997</v>
      </c>
    </row>
    <row r="44" spans="2:9" x14ac:dyDescent="0.25">
      <c r="B44" t="s">
        <v>170</v>
      </c>
      <c r="C44">
        <v>66.599999999999994</v>
      </c>
      <c r="D44">
        <v>44.5</v>
      </c>
    </row>
    <row r="45" spans="2:9" x14ac:dyDescent="0.25">
      <c r="B45" t="s">
        <v>138</v>
      </c>
      <c r="C45">
        <v>70.5</v>
      </c>
      <c r="D45">
        <v>60.4</v>
      </c>
    </row>
    <row r="46" spans="2:9" x14ac:dyDescent="0.25">
      <c r="B46" t="s">
        <v>171</v>
      </c>
      <c r="C46">
        <v>69.900000000000006</v>
      </c>
      <c r="D46">
        <v>57.6</v>
      </c>
    </row>
    <row r="47" spans="2:9" x14ac:dyDescent="0.25">
      <c r="B47" t="s">
        <v>172</v>
      </c>
      <c r="C47">
        <v>71.2</v>
      </c>
      <c r="D47">
        <v>64.400000000000006</v>
      </c>
    </row>
    <row r="48" spans="2:9" x14ac:dyDescent="0.25">
      <c r="B48" t="s">
        <v>144</v>
      </c>
      <c r="C48">
        <v>69</v>
      </c>
      <c r="D48">
        <v>54.4</v>
      </c>
    </row>
    <row r="49" spans="1:22" x14ac:dyDescent="0.25">
      <c r="B49" t="s">
        <v>158</v>
      </c>
      <c r="C49">
        <v>74.7</v>
      </c>
      <c r="D49">
        <v>69.599999999999994</v>
      </c>
    </row>
    <row r="51" spans="1:22" s="21" customFormat="1" x14ac:dyDescent="0.25">
      <c r="A51" s="21" t="s">
        <v>615</v>
      </c>
      <c r="B51" s="21" t="s">
        <v>497</v>
      </c>
      <c r="K51" s="21" t="s">
        <v>498</v>
      </c>
    </row>
    <row r="52" spans="1:22" s="21" customFormat="1" x14ac:dyDescent="0.25">
      <c r="B52" s="38" t="s">
        <v>179</v>
      </c>
      <c r="C52" s="21" t="s">
        <v>222</v>
      </c>
      <c r="F52" s="21" t="s">
        <v>217</v>
      </c>
      <c r="K52" s="38" t="s">
        <v>179</v>
      </c>
      <c r="L52" s="21" t="s">
        <v>222</v>
      </c>
      <c r="O52" s="21" t="s">
        <v>217</v>
      </c>
    </row>
    <row r="53" spans="1:22" s="21" customFormat="1" x14ac:dyDescent="0.25">
      <c r="B53" s="21" t="s">
        <v>246</v>
      </c>
      <c r="C53" s="21" t="s">
        <v>490</v>
      </c>
      <c r="D53" s="21" t="s">
        <v>491</v>
      </c>
      <c r="E53" s="21" t="s">
        <v>493</v>
      </c>
      <c r="F53" s="21" t="s">
        <v>490</v>
      </c>
      <c r="G53" s="21" t="s">
        <v>491</v>
      </c>
      <c r="H53" s="21" t="s">
        <v>493</v>
      </c>
      <c r="K53" s="21" t="s">
        <v>246</v>
      </c>
      <c r="L53" s="21" t="s">
        <v>490</v>
      </c>
      <c r="M53" s="21" t="s">
        <v>491</v>
      </c>
      <c r="N53" s="21" t="s">
        <v>493</v>
      </c>
      <c r="O53" s="21" t="s">
        <v>490</v>
      </c>
      <c r="P53" s="21" t="s">
        <v>491</v>
      </c>
      <c r="Q53" s="21" t="s">
        <v>493</v>
      </c>
    </row>
    <row r="54" spans="1:22" s="21" customFormat="1" ht="15" customHeight="1" x14ac:dyDescent="0.25">
      <c r="B54" s="21" t="s">
        <v>494</v>
      </c>
      <c r="C54" s="21">
        <v>1</v>
      </c>
      <c r="D54" s="21">
        <v>0</v>
      </c>
      <c r="E54" s="21">
        <v>0</v>
      </c>
      <c r="F54" s="21">
        <v>1</v>
      </c>
      <c r="G54" s="21">
        <v>0</v>
      </c>
      <c r="H54" s="21">
        <v>0</v>
      </c>
      <c r="K54" s="21" t="s">
        <v>494</v>
      </c>
      <c r="L54" s="21">
        <v>1.0000000000000001E-5</v>
      </c>
      <c r="M54" s="21">
        <v>1.0000000000000001E-5</v>
      </c>
      <c r="N54" s="21">
        <v>1.0000000000000001E-5</v>
      </c>
      <c r="O54" s="21">
        <v>1.0000000000000001E-5</v>
      </c>
      <c r="P54" s="21">
        <v>1.0000000000000001E-5</v>
      </c>
      <c r="Q54" s="21">
        <v>1.0000000000000001E-5</v>
      </c>
    </row>
    <row r="55" spans="1:22" s="21" customFormat="1" ht="15" customHeight="1" x14ac:dyDescent="0.25">
      <c r="B55" s="22" t="s">
        <v>459</v>
      </c>
      <c r="C55" s="21">
        <v>1</v>
      </c>
      <c r="D55" s="21">
        <v>0</v>
      </c>
      <c r="E55" s="21">
        <v>0</v>
      </c>
      <c r="F55" s="21">
        <v>1</v>
      </c>
      <c r="G55" s="21">
        <v>0</v>
      </c>
      <c r="H55" s="21">
        <v>0</v>
      </c>
      <c r="K55" s="22" t="s">
        <v>459</v>
      </c>
      <c r="L55" s="21">
        <v>1.0000000000000001E-5</v>
      </c>
      <c r="M55" s="21">
        <v>1.0000000000000001E-5</v>
      </c>
      <c r="N55" s="21">
        <v>1.0000000000000001E-5</v>
      </c>
      <c r="O55" s="21">
        <v>1.0000000000000001E-5</v>
      </c>
      <c r="P55" s="21">
        <v>1.0000000000000001E-5</v>
      </c>
      <c r="Q55" s="21">
        <v>1.0000000000000001E-5</v>
      </c>
    </row>
    <row r="56" spans="1:22" s="21" customFormat="1" x14ac:dyDescent="0.25">
      <c r="B56" s="22" t="s">
        <v>338</v>
      </c>
      <c r="C56" s="21">
        <v>1</v>
      </c>
      <c r="D56" s="21">
        <v>0</v>
      </c>
      <c r="E56" s="21">
        <v>0</v>
      </c>
      <c r="F56" s="21">
        <v>1</v>
      </c>
      <c r="G56" s="21">
        <v>0</v>
      </c>
      <c r="H56" s="21">
        <v>0</v>
      </c>
      <c r="K56" s="22" t="s">
        <v>338</v>
      </c>
      <c r="L56" s="21">
        <v>1.0000000000000001E-5</v>
      </c>
      <c r="M56" s="21">
        <v>1.0000000000000001E-5</v>
      </c>
      <c r="N56" s="21">
        <v>1.0000000000000001E-5</v>
      </c>
      <c r="O56" s="21">
        <v>1.0000000000000001E-5</v>
      </c>
      <c r="P56" s="21">
        <v>1.0000000000000001E-5</v>
      </c>
      <c r="Q56" s="21">
        <v>1.0000000000000001E-5</v>
      </c>
      <c r="V56" s="2"/>
    </row>
    <row r="57" spans="1:22" s="21" customFormat="1" x14ac:dyDescent="0.25">
      <c r="B57" s="21" t="s">
        <v>137</v>
      </c>
      <c r="C57" s="21">
        <v>0.97724200000000006</v>
      </c>
      <c r="D57" s="21">
        <v>2.2758E-2</v>
      </c>
      <c r="E57" s="21">
        <v>0</v>
      </c>
      <c r="F57" s="21">
        <v>0.94561300000000004</v>
      </c>
      <c r="G57" s="21">
        <v>4.9265999999999997E-2</v>
      </c>
      <c r="H57" s="21">
        <v>5.1209999999999997E-3</v>
      </c>
      <c r="I57" s="37"/>
      <c r="K57" s="21" t="s">
        <v>137</v>
      </c>
      <c r="L57" s="21">
        <v>0.28129999999999999</v>
      </c>
      <c r="M57" s="21">
        <v>2</v>
      </c>
      <c r="N57" s="21">
        <v>1</v>
      </c>
      <c r="O57" s="21">
        <v>0.27746500000000002</v>
      </c>
      <c r="P57" s="21">
        <v>2</v>
      </c>
      <c r="Q57" s="21">
        <v>5</v>
      </c>
    </row>
    <row r="58" spans="1:22" s="21" customFormat="1" x14ac:dyDescent="0.25">
      <c r="B58" s="21" t="s">
        <v>138</v>
      </c>
      <c r="C58" s="21">
        <v>0.98365199999999997</v>
      </c>
      <c r="D58" s="21">
        <v>1.6348000000000001E-2</v>
      </c>
      <c r="E58" s="21">
        <v>0</v>
      </c>
      <c r="F58" s="21">
        <v>0.70302699999999996</v>
      </c>
      <c r="G58" s="21">
        <v>0.26459899999999997</v>
      </c>
      <c r="H58" s="21">
        <v>3.2374E-2</v>
      </c>
      <c r="I58" s="37"/>
      <c r="K58" s="21" t="s">
        <v>138</v>
      </c>
      <c r="L58" s="21">
        <v>0.81226399999999999</v>
      </c>
      <c r="M58" s="21">
        <v>2</v>
      </c>
      <c r="N58" s="21">
        <v>1</v>
      </c>
      <c r="O58" s="21">
        <v>0.77700999999999998</v>
      </c>
      <c r="P58" s="21">
        <v>2.2178230000000001</v>
      </c>
      <c r="Q58" s="21">
        <v>10.749024</v>
      </c>
    </row>
    <row r="59" spans="1:22" s="21" customFormat="1" x14ac:dyDescent="0.25">
      <c r="B59" s="21" t="s">
        <v>139</v>
      </c>
      <c r="C59" s="21">
        <v>0.98638800000000004</v>
      </c>
      <c r="D59" s="21">
        <v>1.3612000000000001E-2</v>
      </c>
      <c r="E59" s="21">
        <v>0</v>
      </c>
      <c r="F59" s="21">
        <v>0.82045599999999996</v>
      </c>
      <c r="G59" s="21">
        <v>0.17419699999999999</v>
      </c>
      <c r="H59" s="21">
        <v>5.3480000000000003E-3</v>
      </c>
      <c r="I59" s="37"/>
      <c r="K59" s="21" t="s">
        <v>139</v>
      </c>
      <c r="L59" s="21">
        <v>0.91723900000000003</v>
      </c>
      <c r="M59" s="21">
        <v>2</v>
      </c>
      <c r="N59" s="21">
        <v>1</v>
      </c>
      <c r="O59" s="21">
        <v>0.94159599999999999</v>
      </c>
      <c r="P59" s="21">
        <v>2.1721080000000001</v>
      </c>
      <c r="Q59" s="21">
        <v>20</v>
      </c>
      <c r="V59" s="2"/>
    </row>
    <row r="60" spans="1:22" s="21" customFormat="1" x14ac:dyDescent="0.25">
      <c r="B60" s="21" t="s">
        <v>140</v>
      </c>
      <c r="C60" s="21">
        <v>0.98581200000000002</v>
      </c>
      <c r="D60" s="21">
        <v>1.4187999999999999E-2</v>
      </c>
      <c r="E60" s="21">
        <v>0</v>
      </c>
      <c r="F60" s="21">
        <v>0.723132</v>
      </c>
      <c r="G60" s="21">
        <v>0.276868</v>
      </c>
      <c r="H60" s="20">
        <f>(H59+H61)/2</f>
        <v>4.6860000000000001E-3</v>
      </c>
      <c r="I60" s="37"/>
      <c r="K60" s="21" t="s">
        <v>140</v>
      </c>
      <c r="L60" s="21">
        <v>0.90809600000000001</v>
      </c>
      <c r="M60" s="21">
        <v>2</v>
      </c>
      <c r="N60" s="21">
        <v>1</v>
      </c>
      <c r="O60" s="21">
        <v>0.94391199999999997</v>
      </c>
      <c r="P60" s="21">
        <v>2.1474769999999999</v>
      </c>
      <c r="Q60" s="21">
        <v>1</v>
      </c>
    </row>
    <row r="61" spans="1:22" s="21" customFormat="1" x14ac:dyDescent="0.25">
      <c r="B61" s="21" t="s">
        <v>141</v>
      </c>
      <c r="C61" s="21">
        <v>0.98610100000000001</v>
      </c>
      <c r="D61" s="21">
        <v>1.3899E-2</v>
      </c>
      <c r="E61" s="21">
        <v>0</v>
      </c>
      <c r="F61" s="21">
        <v>0.75290500000000005</v>
      </c>
      <c r="G61" s="21">
        <v>0.24307100000000001</v>
      </c>
      <c r="H61" s="21">
        <v>4.0239999999999998E-3</v>
      </c>
      <c r="I61" s="37"/>
      <c r="K61" s="21" t="s">
        <v>141</v>
      </c>
      <c r="L61" s="21">
        <v>0.87885400000000002</v>
      </c>
      <c r="M61" s="21">
        <v>2</v>
      </c>
      <c r="N61" s="21">
        <v>1</v>
      </c>
      <c r="O61" s="21">
        <v>0.961368</v>
      </c>
      <c r="P61" s="21">
        <v>2.1142069999999999</v>
      </c>
      <c r="Q61" s="21">
        <v>5</v>
      </c>
    </row>
    <row r="62" spans="1:22" s="21" customFormat="1" x14ac:dyDescent="0.25">
      <c r="B62" s="21" t="s">
        <v>142</v>
      </c>
      <c r="C62" s="37">
        <v>0.98610100000000001</v>
      </c>
      <c r="D62" s="37">
        <v>1.3899E-2</v>
      </c>
      <c r="E62" s="21">
        <v>0</v>
      </c>
      <c r="F62" s="21">
        <v>0.85122299999999995</v>
      </c>
      <c r="G62" s="21">
        <v>0.12883500000000001</v>
      </c>
      <c r="H62" s="21">
        <v>1.9942000000000001E-2</v>
      </c>
      <c r="I62" s="37"/>
      <c r="K62" s="21" t="s">
        <v>142</v>
      </c>
      <c r="L62" s="21">
        <v>0.79271000000000003</v>
      </c>
      <c r="M62" s="21">
        <v>2</v>
      </c>
      <c r="N62" s="21">
        <v>1</v>
      </c>
      <c r="O62" s="21">
        <v>0.95213899999999996</v>
      </c>
      <c r="P62" s="21">
        <v>2.033687</v>
      </c>
      <c r="Q62" s="21">
        <v>17.745961999999999</v>
      </c>
    </row>
    <row r="63" spans="1:22" s="21" customFormat="1" x14ac:dyDescent="0.25">
      <c r="B63" s="21" t="s">
        <v>143</v>
      </c>
      <c r="C63" s="37">
        <v>0.98610100000000001</v>
      </c>
      <c r="D63" s="37">
        <v>1.3899E-2</v>
      </c>
      <c r="E63" s="21">
        <v>0</v>
      </c>
      <c r="F63" s="21">
        <v>0.78364100000000003</v>
      </c>
      <c r="G63" s="21">
        <v>0.216359</v>
      </c>
      <c r="H63" s="20">
        <f>(H62+H64)/2</f>
        <v>1.4025000000000001E-2</v>
      </c>
      <c r="I63" s="37"/>
      <c r="K63" s="21" t="s">
        <v>143</v>
      </c>
      <c r="L63" s="21">
        <v>0.73475599999999996</v>
      </c>
      <c r="M63" s="21">
        <v>2</v>
      </c>
      <c r="N63" s="21">
        <v>1</v>
      </c>
      <c r="O63" s="21">
        <v>0.99218300000000004</v>
      </c>
      <c r="P63" s="21">
        <v>2.0873439999999999</v>
      </c>
      <c r="Q63" s="21">
        <v>1</v>
      </c>
    </row>
    <row r="64" spans="1:22" s="21" customFormat="1" x14ac:dyDescent="0.25">
      <c r="B64" s="21" t="s">
        <v>392</v>
      </c>
      <c r="C64" s="37">
        <v>0.98610100000000001</v>
      </c>
      <c r="D64" s="37">
        <v>1.3899E-2</v>
      </c>
      <c r="E64" s="21">
        <v>0</v>
      </c>
      <c r="F64" s="21">
        <v>0.87470700000000001</v>
      </c>
      <c r="G64" s="21">
        <v>0.117185</v>
      </c>
      <c r="H64" s="21">
        <v>8.1080000000000006E-3</v>
      </c>
      <c r="K64" s="21" t="s">
        <v>392</v>
      </c>
      <c r="L64" s="21">
        <v>0.73475599999999996</v>
      </c>
      <c r="M64" s="21">
        <v>2</v>
      </c>
      <c r="N64" s="21">
        <v>1</v>
      </c>
      <c r="O64" s="21">
        <v>0.92510300000000001</v>
      </c>
      <c r="P64" s="21">
        <v>2</v>
      </c>
      <c r="Q64" s="21">
        <v>5</v>
      </c>
    </row>
    <row r="65" spans="2:25" s="21" customFormat="1" x14ac:dyDescent="0.25">
      <c r="B65" s="21" t="s">
        <v>461</v>
      </c>
      <c r="C65" s="37">
        <v>0.98610100000000001</v>
      </c>
      <c r="D65" s="37">
        <v>1.3899E-2</v>
      </c>
      <c r="E65" s="21">
        <v>0</v>
      </c>
      <c r="F65" s="21">
        <v>0.87470700000000001</v>
      </c>
      <c r="G65" s="21">
        <v>0.117185</v>
      </c>
      <c r="H65" s="21">
        <v>8.1080000000000006E-3</v>
      </c>
      <c r="K65" s="21" t="s">
        <v>461</v>
      </c>
      <c r="L65" s="21">
        <v>0.73475599999999996</v>
      </c>
      <c r="M65" s="21">
        <v>2</v>
      </c>
      <c r="N65" s="21">
        <v>1</v>
      </c>
      <c r="O65" s="21">
        <v>0.92510300000000001</v>
      </c>
      <c r="P65" s="21">
        <v>2</v>
      </c>
      <c r="Q65" s="21">
        <v>1</v>
      </c>
    </row>
    <row r="66" spans="2:25" s="21" customFormat="1" x14ac:dyDescent="0.25">
      <c r="B66" s="21" t="s">
        <v>324</v>
      </c>
      <c r="C66" s="37">
        <v>0.98610100000000001</v>
      </c>
      <c r="D66" s="37">
        <v>1.3899E-2</v>
      </c>
      <c r="E66" s="21">
        <v>0</v>
      </c>
      <c r="F66" s="21">
        <v>0.87470700000000001</v>
      </c>
      <c r="G66" s="21">
        <v>0.117185</v>
      </c>
      <c r="H66" s="21">
        <v>8.1080000000000006E-3</v>
      </c>
      <c r="K66" s="21" t="s">
        <v>324</v>
      </c>
      <c r="L66" s="21">
        <v>0.73475599999999996</v>
      </c>
      <c r="M66" s="21">
        <v>2</v>
      </c>
      <c r="N66" s="21">
        <v>1</v>
      </c>
      <c r="O66" s="21">
        <v>0.92510300000000001</v>
      </c>
      <c r="P66" s="21">
        <v>2</v>
      </c>
      <c r="Q66" s="21">
        <v>1</v>
      </c>
    </row>
    <row r="67" spans="2:25" s="21" customFormat="1" x14ac:dyDescent="0.25">
      <c r="B67" s="21" t="s">
        <v>462</v>
      </c>
      <c r="C67" s="37">
        <v>0.98610100000000001</v>
      </c>
      <c r="D67" s="37">
        <v>1.3899E-2</v>
      </c>
      <c r="E67" s="21">
        <v>0</v>
      </c>
      <c r="F67" s="21">
        <v>0.87470700000000001</v>
      </c>
      <c r="G67" s="21">
        <v>0.117185</v>
      </c>
      <c r="H67" s="21">
        <v>8.1080000000000006E-3</v>
      </c>
      <c r="K67" s="21" t="s">
        <v>462</v>
      </c>
      <c r="L67" s="21">
        <v>0.73475599999999996</v>
      </c>
      <c r="M67" s="21">
        <v>2</v>
      </c>
      <c r="N67" s="21">
        <v>1</v>
      </c>
      <c r="O67" s="21">
        <v>0.92510300000000001</v>
      </c>
      <c r="P67" s="21">
        <v>2</v>
      </c>
      <c r="Q67" s="21">
        <v>1</v>
      </c>
    </row>
    <row r="68" spans="2:25" s="21" customFormat="1" x14ac:dyDescent="0.25">
      <c r="B68" s="21" t="s">
        <v>463</v>
      </c>
      <c r="C68" s="37">
        <v>0.98610100000000001</v>
      </c>
      <c r="D68" s="37">
        <v>1.3899E-2</v>
      </c>
      <c r="E68" s="21">
        <v>0</v>
      </c>
      <c r="F68" s="21">
        <v>0.87470700000000001</v>
      </c>
      <c r="G68" s="21">
        <v>0.117185</v>
      </c>
      <c r="H68" s="21">
        <v>8.1080000000000006E-3</v>
      </c>
      <c r="K68" s="21" t="s">
        <v>463</v>
      </c>
      <c r="L68" s="21">
        <v>0.73475599999999996</v>
      </c>
      <c r="M68" s="21">
        <v>2</v>
      </c>
      <c r="N68" s="21">
        <v>1</v>
      </c>
      <c r="O68" s="21">
        <v>0.92510300000000001</v>
      </c>
      <c r="P68" s="21">
        <v>2</v>
      </c>
      <c r="Q68" s="21">
        <v>1</v>
      </c>
    </row>
    <row r="69" spans="2:25" s="21" customFormat="1" x14ac:dyDescent="0.25">
      <c r="B69" s="21" t="s">
        <v>464</v>
      </c>
      <c r="C69" s="37">
        <v>0.98610100000000001</v>
      </c>
      <c r="D69" s="37">
        <v>1.3899E-2</v>
      </c>
      <c r="E69" s="21">
        <v>0</v>
      </c>
      <c r="F69" s="21">
        <v>0.87470700000000001</v>
      </c>
      <c r="G69" s="21">
        <v>0.117185</v>
      </c>
      <c r="H69" s="21">
        <v>8.1080000000000006E-3</v>
      </c>
      <c r="K69" s="21" t="s">
        <v>464</v>
      </c>
      <c r="L69" s="21">
        <v>0.73475599999999996</v>
      </c>
      <c r="M69" s="21">
        <v>2</v>
      </c>
      <c r="N69" s="21">
        <v>1</v>
      </c>
      <c r="O69" s="21">
        <v>0.92510300000000001</v>
      </c>
      <c r="P69" s="21">
        <v>2</v>
      </c>
      <c r="Q69" s="21">
        <v>1</v>
      </c>
    </row>
    <row r="70" spans="2:25" s="21" customFormat="1" x14ac:dyDescent="0.25"/>
    <row r="71" spans="2:25" s="21" customFormat="1" x14ac:dyDescent="0.25">
      <c r="B71" s="39" t="s">
        <v>28</v>
      </c>
      <c r="C71" s="21" t="s">
        <v>215</v>
      </c>
      <c r="F71" s="21" t="s">
        <v>223</v>
      </c>
      <c r="K71" s="43" t="s">
        <v>1017</v>
      </c>
      <c r="L71" s="37" t="s">
        <v>222</v>
      </c>
      <c r="M71" s="37"/>
      <c r="N71" s="37"/>
      <c r="O71" s="37" t="s">
        <v>217</v>
      </c>
      <c r="P71" s="37"/>
      <c r="Q71" s="37"/>
      <c r="S71" s="43" t="s">
        <v>1015</v>
      </c>
      <c r="T71" s="37" t="s">
        <v>222</v>
      </c>
      <c r="U71" s="37"/>
      <c r="V71" s="37"/>
      <c r="W71" s="37" t="s">
        <v>217</v>
      </c>
      <c r="X71" s="37"/>
      <c r="Y71" s="37"/>
    </row>
    <row r="72" spans="2:25" s="21" customFormat="1" x14ac:dyDescent="0.25">
      <c r="B72" s="21" t="s">
        <v>246</v>
      </c>
      <c r="C72" s="21" t="s">
        <v>490</v>
      </c>
      <c r="D72" s="21" t="s">
        <v>491</v>
      </c>
      <c r="E72" s="21" t="s">
        <v>493</v>
      </c>
      <c r="F72" s="21" t="s">
        <v>490</v>
      </c>
      <c r="G72" s="21" t="s">
        <v>491</v>
      </c>
      <c r="H72" s="21" t="s">
        <v>493</v>
      </c>
      <c r="K72" s="37" t="s">
        <v>246</v>
      </c>
      <c r="L72" s="37" t="s">
        <v>490</v>
      </c>
      <c r="M72" s="37" t="s">
        <v>491</v>
      </c>
      <c r="N72" s="37" t="s">
        <v>493</v>
      </c>
      <c r="O72" s="37" t="s">
        <v>490</v>
      </c>
      <c r="P72" s="37" t="s">
        <v>491</v>
      </c>
      <c r="Q72" s="37" t="s">
        <v>493</v>
      </c>
      <c r="S72" s="37" t="s">
        <v>246</v>
      </c>
      <c r="T72" s="37" t="s">
        <v>490</v>
      </c>
      <c r="U72" s="37" t="s">
        <v>491</v>
      </c>
      <c r="V72" s="37" t="s">
        <v>493</v>
      </c>
      <c r="W72" s="37" t="s">
        <v>490</v>
      </c>
      <c r="X72" s="37" t="s">
        <v>491</v>
      </c>
      <c r="Y72" s="37" t="s">
        <v>493</v>
      </c>
    </row>
    <row r="73" spans="2:25" s="21" customFormat="1" x14ac:dyDescent="0.25">
      <c r="B73" s="21" t="s">
        <v>494</v>
      </c>
      <c r="C73" s="29">
        <v>1</v>
      </c>
      <c r="D73" s="21">
        <v>0</v>
      </c>
      <c r="E73" s="21">
        <v>0</v>
      </c>
      <c r="F73" s="21">
        <v>1</v>
      </c>
      <c r="G73" s="21">
        <v>0</v>
      </c>
      <c r="H73" s="21">
        <v>0</v>
      </c>
      <c r="K73" s="37" t="s">
        <v>494</v>
      </c>
      <c r="L73" s="37">
        <v>1.0000000000000001E-5</v>
      </c>
      <c r="M73" s="37">
        <v>1.0000000000000001E-5</v>
      </c>
      <c r="N73" s="37">
        <v>1.0000000000000001E-5</v>
      </c>
      <c r="O73" s="37">
        <v>1.0000000000000001E-5</v>
      </c>
      <c r="P73" s="37">
        <v>1.0000000000000001E-5</v>
      </c>
      <c r="Q73" s="37">
        <v>1.0000000000000001E-5</v>
      </c>
      <c r="S73" s="37" t="s">
        <v>494</v>
      </c>
      <c r="T73" s="37">
        <v>1.0000000000000001E-5</v>
      </c>
      <c r="U73" s="37">
        <v>1.0000000000000001E-5</v>
      </c>
      <c r="V73" s="37">
        <v>1.0000000000000001E-5</v>
      </c>
      <c r="W73" s="37">
        <v>1.0000000000000001E-5</v>
      </c>
      <c r="X73" s="37">
        <v>1.0000000000000001E-5</v>
      </c>
      <c r="Y73" s="37">
        <v>1.0000000000000001E-5</v>
      </c>
    </row>
    <row r="74" spans="2:25" s="21" customFormat="1" x14ac:dyDescent="0.25">
      <c r="B74" s="22" t="s">
        <v>459</v>
      </c>
      <c r="C74" s="29">
        <v>1</v>
      </c>
      <c r="D74" s="21">
        <v>0</v>
      </c>
      <c r="E74" s="21">
        <v>0</v>
      </c>
      <c r="F74" s="21">
        <v>1</v>
      </c>
      <c r="G74" s="21">
        <v>0</v>
      </c>
      <c r="H74" s="21">
        <v>0</v>
      </c>
      <c r="K74" s="22" t="s">
        <v>459</v>
      </c>
      <c r="L74" s="37">
        <v>1.0000000000000001E-5</v>
      </c>
      <c r="M74" s="37">
        <v>1.0000000000000001E-5</v>
      </c>
      <c r="N74" s="37">
        <v>1.0000000000000001E-5</v>
      </c>
      <c r="O74" s="37">
        <v>1.0000000000000001E-5</v>
      </c>
      <c r="P74" s="37">
        <v>1.0000000000000001E-5</v>
      </c>
      <c r="Q74" s="37">
        <v>1.0000000000000001E-5</v>
      </c>
      <c r="S74" s="22" t="s">
        <v>459</v>
      </c>
      <c r="T74" s="37">
        <v>1.0000000000000001E-5</v>
      </c>
      <c r="U74" s="37">
        <v>1.0000000000000001E-5</v>
      </c>
      <c r="V74" s="37">
        <v>1.0000000000000001E-5</v>
      </c>
      <c r="W74" s="37">
        <v>1.0000000000000001E-5</v>
      </c>
      <c r="X74" s="37">
        <v>1.0000000000000001E-5</v>
      </c>
      <c r="Y74" s="37">
        <v>1.0000000000000001E-5</v>
      </c>
    </row>
    <row r="75" spans="2:25" s="21" customFormat="1" x14ac:dyDescent="0.25">
      <c r="B75" s="22" t="s">
        <v>338</v>
      </c>
      <c r="C75" s="29">
        <v>1</v>
      </c>
      <c r="D75" s="21">
        <v>0</v>
      </c>
      <c r="E75" s="21">
        <v>0</v>
      </c>
      <c r="F75" s="21">
        <v>1</v>
      </c>
      <c r="G75" s="21">
        <v>0</v>
      </c>
      <c r="H75" s="21">
        <v>0</v>
      </c>
      <c r="K75" s="22" t="s">
        <v>338</v>
      </c>
      <c r="L75" s="71">
        <v>3.4000000000000002E-2</v>
      </c>
      <c r="M75" s="37">
        <v>1.0000000000000001E-5</v>
      </c>
      <c r="N75" s="37">
        <v>1.0000000000000001E-5</v>
      </c>
      <c r="O75" s="71">
        <v>3.4000000000000002E-2</v>
      </c>
      <c r="P75" s="37">
        <v>1.0000000000000001E-5</v>
      </c>
      <c r="Q75" s="37">
        <v>1.0000000000000001E-5</v>
      </c>
      <c r="S75" s="22" t="s">
        <v>338</v>
      </c>
      <c r="T75" s="37">
        <v>1.0000000000000001E-5</v>
      </c>
      <c r="U75" s="37">
        <v>1.0000000000000001E-5</v>
      </c>
      <c r="V75" s="37">
        <v>1.0000000000000001E-5</v>
      </c>
      <c r="W75" s="37">
        <v>1.0000000000000001E-5</v>
      </c>
      <c r="X75" s="37">
        <v>1.0000000000000001E-5</v>
      </c>
      <c r="Y75" s="37">
        <v>1.0000000000000001E-5</v>
      </c>
    </row>
    <row r="76" spans="2:25" s="21" customFormat="1" ht="15" customHeight="1" x14ac:dyDescent="0.25">
      <c r="B76" s="21" t="s">
        <v>137</v>
      </c>
      <c r="C76" s="29">
        <v>0.98975599999999997</v>
      </c>
      <c r="D76" s="21">
        <v>1.0069E-2</v>
      </c>
      <c r="E76" s="21">
        <v>1.7500000000000003E-4</v>
      </c>
      <c r="F76" s="21">
        <v>0.96245199999999997</v>
      </c>
      <c r="G76" s="21">
        <v>3.5205E-2</v>
      </c>
      <c r="H76" s="21">
        <v>2.343E-3</v>
      </c>
      <c r="I76" s="41">
        <f>E76+D76</f>
        <v>1.0244E-2</v>
      </c>
      <c r="K76" s="37" t="s">
        <v>137</v>
      </c>
      <c r="L76" s="37">
        <v>0.22517599999999999</v>
      </c>
      <c r="M76" s="37">
        <v>2.1546289999999999</v>
      </c>
      <c r="N76" s="37">
        <v>6.4129969999999998</v>
      </c>
      <c r="O76" s="37">
        <v>0.22517599999999999</v>
      </c>
      <c r="P76" s="37">
        <v>2.1546289999999999</v>
      </c>
      <c r="Q76" s="37">
        <v>6.4129969999999998</v>
      </c>
      <c r="S76" s="37" t="s">
        <v>137</v>
      </c>
      <c r="T76" s="37">
        <v>0.25856800000000002</v>
      </c>
      <c r="U76" s="37">
        <v>2</v>
      </c>
      <c r="V76" s="37">
        <v>6</v>
      </c>
      <c r="W76" s="37">
        <v>0.22517599999999999</v>
      </c>
      <c r="X76" s="37">
        <v>2.1546289999999999</v>
      </c>
      <c r="Y76" s="37">
        <v>6.4129969999999998</v>
      </c>
    </row>
    <row r="77" spans="2:25" s="21" customFormat="1" x14ac:dyDescent="0.25">
      <c r="B77" s="21" t="s">
        <v>138</v>
      </c>
      <c r="C77" s="29">
        <v>0.97952399999999995</v>
      </c>
      <c r="D77" s="21">
        <v>2.0166E-2</v>
      </c>
      <c r="E77" s="21">
        <v>3.1E-4</v>
      </c>
      <c r="F77" s="21">
        <v>0.8334180000000001</v>
      </c>
      <c r="G77" s="21">
        <v>0.157748</v>
      </c>
      <c r="H77" s="21">
        <v>8.8339999999999998E-3</v>
      </c>
      <c r="I77" s="41"/>
      <c r="K77" s="37" t="s">
        <v>138</v>
      </c>
      <c r="L77" s="37">
        <v>0.67400099999999996</v>
      </c>
      <c r="M77" s="37">
        <v>2.173962</v>
      </c>
      <c r="N77" s="37">
        <v>7.7805770000000001</v>
      </c>
      <c r="O77" s="37">
        <v>0.67400099999999996</v>
      </c>
      <c r="P77" s="37">
        <v>2.173962</v>
      </c>
      <c r="Q77" s="37">
        <v>7.7805770000000001</v>
      </c>
      <c r="S77" s="37" t="s">
        <v>138</v>
      </c>
      <c r="T77" s="37">
        <v>0.76683599999999996</v>
      </c>
      <c r="U77" s="37">
        <v>2.059053</v>
      </c>
      <c r="V77" s="37">
        <v>7</v>
      </c>
      <c r="W77" s="37">
        <v>0.67400099999999996</v>
      </c>
      <c r="X77" s="37">
        <v>2.173962</v>
      </c>
      <c r="Y77" s="37">
        <v>7.7805770000000001</v>
      </c>
    </row>
    <row r="78" spans="2:25" s="21" customFormat="1" x14ac:dyDescent="0.25">
      <c r="B78" s="21" t="s">
        <v>139</v>
      </c>
      <c r="C78" s="29">
        <v>0.98680599999999996</v>
      </c>
      <c r="D78" s="21">
        <v>1.2837000000000001E-2</v>
      </c>
      <c r="E78" s="21">
        <v>3.57E-4</v>
      </c>
      <c r="F78" s="21">
        <v>0.825658</v>
      </c>
      <c r="G78" s="21">
        <v>0.16295100000000001</v>
      </c>
      <c r="H78" s="21">
        <v>1.1391E-2</v>
      </c>
      <c r="I78" s="41"/>
      <c r="K78" s="37" t="s">
        <v>139</v>
      </c>
      <c r="L78" s="37">
        <v>0.87036999999999998</v>
      </c>
      <c r="M78" s="37">
        <v>2.105747</v>
      </c>
      <c r="N78" s="44">
        <f>19.478731 * 0.6</f>
        <v>11.687238599999999</v>
      </c>
      <c r="O78" s="37">
        <v>0.87036999999999998</v>
      </c>
      <c r="P78" s="37">
        <v>2.105747</v>
      </c>
      <c r="Q78" s="44">
        <f>19.478731 * 0.6</f>
        <v>11.687238599999999</v>
      </c>
      <c r="S78" s="37" t="s">
        <v>139</v>
      </c>
      <c r="T78" s="37">
        <v>0.88956500000000005</v>
      </c>
      <c r="U78" s="37">
        <v>2.129076</v>
      </c>
      <c r="V78" s="37">
        <v>5</v>
      </c>
      <c r="W78" s="37">
        <v>0.87036999999999998</v>
      </c>
      <c r="X78" s="37">
        <v>2.105747</v>
      </c>
      <c r="Y78" s="37">
        <v>19.478731</v>
      </c>
    </row>
    <row r="79" spans="2:25" s="21" customFormat="1" x14ac:dyDescent="0.25">
      <c r="B79" s="21" t="s">
        <v>140</v>
      </c>
      <c r="C79" s="29">
        <v>0.98374700000000004</v>
      </c>
      <c r="D79" s="21">
        <v>1.6253E-2</v>
      </c>
      <c r="E79" s="20">
        <v>4.6700000000000002E-4</v>
      </c>
      <c r="F79" s="21">
        <v>0.84771699999999994</v>
      </c>
      <c r="G79" s="21">
        <v>0.149064</v>
      </c>
      <c r="H79" s="21">
        <v>3.2200000000000002E-3</v>
      </c>
      <c r="I79" s="41"/>
      <c r="K79" s="37" t="s">
        <v>140</v>
      </c>
      <c r="L79" s="37">
        <v>0.93245599999999995</v>
      </c>
      <c r="M79" s="37">
        <v>2.1315270000000002</v>
      </c>
      <c r="N79" s="44">
        <f>19.514182 * 0.6</f>
        <v>11.7085092</v>
      </c>
      <c r="O79" s="37">
        <v>0.93245599999999995</v>
      </c>
      <c r="P79" s="37">
        <v>2.1315270000000002</v>
      </c>
      <c r="Q79" s="44">
        <f>19.514182 * 0.6</f>
        <v>11.7085092</v>
      </c>
      <c r="S79" s="37" t="s">
        <v>140</v>
      </c>
      <c r="T79" s="37">
        <v>0.912547</v>
      </c>
      <c r="U79" s="37">
        <v>2.027717</v>
      </c>
      <c r="V79" s="20">
        <v>1</v>
      </c>
      <c r="W79" s="37">
        <v>0.93245599999999995</v>
      </c>
      <c r="X79" s="37">
        <v>2.1315270000000002</v>
      </c>
      <c r="Y79" s="37">
        <v>19.514182000000002</v>
      </c>
    </row>
    <row r="80" spans="2:25" s="21" customFormat="1" x14ac:dyDescent="0.25">
      <c r="B80" s="21" t="s">
        <v>141</v>
      </c>
      <c r="C80" s="29">
        <v>0.98370900000000006</v>
      </c>
      <c r="D80" s="21">
        <v>1.5713999999999999E-2</v>
      </c>
      <c r="E80" s="21">
        <v>5.7700000000000004E-4</v>
      </c>
      <c r="F80" s="21">
        <v>0.86167599999999989</v>
      </c>
      <c r="G80" s="21">
        <v>0.13456400000000002</v>
      </c>
      <c r="H80" s="21">
        <v>3.7599999999999999E-3</v>
      </c>
      <c r="I80" s="41"/>
      <c r="K80" s="37" t="s">
        <v>141</v>
      </c>
      <c r="L80" s="37">
        <v>0.93322700000000003</v>
      </c>
      <c r="M80" s="37">
        <v>2.181549</v>
      </c>
      <c r="N80" s="37">
        <v>5.6671909999999999</v>
      </c>
      <c r="O80" s="37">
        <v>0.93322700000000003</v>
      </c>
      <c r="P80" s="37">
        <v>2.181549</v>
      </c>
      <c r="Q80" s="37">
        <v>5.6671909999999999</v>
      </c>
      <c r="S80" s="37" t="s">
        <v>141</v>
      </c>
      <c r="T80" s="37">
        <v>0.84996300000000002</v>
      </c>
      <c r="U80" s="37">
        <v>2</v>
      </c>
      <c r="V80" s="37">
        <v>95</v>
      </c>
      <c r="W80" s="37">
        <v>0.93322700000000003</v>
      </c>
      <c r="X80" s="37">
        <v>2.181549</v>
      </c>
      <c r="Y80" s="37">
        <v>5.6671909999999999</v>
      </c>
    </row>
    <row r="81" spans="1:25" s="21" customFormat="1" x14ac:dyDescent="0.25">
      <c r="B81" s="21" t="s">
        <v>142</v>
      </c>
      <c r="C81" s="29">
        <v>0.99171000000000009</v>
      </c>
      <c r="D81" s="21">
        <v>7.8080000000000007E-3</v>
      </c>
      <c r="E81" s="21">
        <v>4.8200000000000001E-4</v>
      </c>
      <c r="F81" s="21">
        <v>0.88590000000000002</v>
      </c>
      <c r="G81" s="21">
        <v>0.11090999999999999</v>
      </c>
      <c r="H81" s="21">
        <v>3.1900000000000001E-3</v>
      </c>
      <c r="I81" s="41"/>
      <c r="K81" s="37" t="s">
        <v>142</v>
      </c>
      <c r="L81" s="37">
        <v>0.94899599999999995</v>
      </c>
      <c r="M81" s="37">
        <v>2.0623269999999998</v>
      </c>
      <c r="N81" s="44">
        <f xml:space="preserve"> 16.551753 * 0.6</f>
        <v>9.9310518000000005</v>
      </c>
      <c r="O81" s="37">
        <v>0.94899599999999995</v>
      </c>
      <c r="P81" s="37">
        <v>2.0623269999999998</v>
      </c>
      <c r="Q81" s="44">
        <f xml:space="preserve"> 16.551753 * 0.6</f>
        <v>9.9310518000000005</v>
      </c>
      <c r="S81" s="37" t="s">
        <v>142</v>
      </c>
      <c r="T81" s="37">
        <v>0.80288000000000004</v>
      </c>
      <c r="U81" s="37">
        <v>2.0904959999999999</v>
      </c>
      <c r="V81" s="37">
        <v>50</v>
      </c>
      <c r="W81" s="37">
        <v>0.94899599999999995</v>
      </c>
      <c r="X81" s="37">
        <v>2.0623269999999998</v>
      </c>
      <c r="Y81" s="37">
        <v>16.551753000000001</v>
      </c>
    </row>
    <row r="82" spans="1:25" s="21" customFormat="1" x14ac:dyDescent="0.25">
      <c r="B82" s="21" t="s">
        <v>143</v>
      </c>
      <c r="C82" s="29">
        <v>0.99118399999999995</v>
      </c>
      <c r="D82" s="21">
        <v>8.8160000000000009E-3</v>
      </c>
      <c r="E82" s="21">
        <v>0</v>
      </c>
      <c r="F82" s="21">
        <v>0.87293999999999994</v>
      </c>
      <c r="G82" s="21">
        <v>0.126001</v>
      </c>
      <c r="H82" s="21">
        <v>1.059E-3</v>
      </c>
      <c r="I82" s="41"/>
      <c r="K82" s="37" t="s">
        <v>143</v>
      </c>
      <c r="L82" s="37">
        <v>0.93038500000000002</v>
      </c>
      <c r="M82" s="37">
        <v>2.1220140000000001</v>
      </c>
      <c r="N82" s="44">
        <f xml:space="preserve"> 24.516099 * 0.6</f>
        <v>14.7096594</v>
      </c>
      <c r="O82" s="37">
        <v>0.93038500000000002</v>
      </c>
      <c r="P82" s="37">
        <v>2.1220140000000001</v>
      </c>
      <c r="Q82" s="44">
        <f xml:space="preserve"> 24.516099 * 0.6</f>
        <v>14.7096594</v>
      </c>
      <c r="S82" s="37" t="s">
        <v>143</v>
      </c>
      <c r="T82" s="37">
        <v>0.74267700000000003</v>
      </c>
      <c r="U82" s="37">
        <v>2.395661</v>
      </c>
      <c r="V82" s="20">
        <v>1</v>
      </c>
      <c r="W82" s="37">
        <v>0.93038500000000002</v>
      </c>
      <c r="X82" s="37">
        <v>2.1220140000000001</v>
      </c>
      <c r="Y82" s="37">
        <v>24.516099000000001</v>
      </c>
    </row>
    <row r="83" spans="1:25" s="21" customFormat="1" x14ac:dyDescent="0.25">
      <c r="B83" s="21" t="s">
        <v>392</v>
      </c>
      <c r="C83" s="29">
        <v>0.99118399999999995</v>
      </c>
      <c r="D83" s="37">
        <v>8.8160000000000009E-3</v>
      </c>
      <c r="E83" s="21">
        <v>0</v>
      </c>
      <c r="F83" s="21">
        <v>0.88538499999999998</v>
      </c>
      <c r="G83" s="21">
        <v>0.10356299999999999</v>
      </c>
      <c r="H83" s="21">
        <v>1.1051999999999999E-2</v>
      </c>
      <c r="I83" s="41"/>
      <c r="K83" s="37" t="s">
        <v>392</v>
      </c>
      <c r="L83" s="37">
        <v>0.91735900000000004</v>
      </c>
      <c r="M83" s="37">
        <v>2.1227469999999999</v>
      </c>
      <c r="N83" s="37">
        <v>7.0254260000000004</v>
      </c>
      <c r="O83" s="37">
        <v>0.91735900000000004</v>
      </c>
      <c r="P83" s="37">
        <v>2.1227469999999999</v>
      </c>
      <c r="Q83" s="37">
        <v>7.0254260000000004</v>
      </c>
      <c r="S83" s="37" t="s">
        <v>392</v>
      </c>
      <c r="T83" s="37">
        <v>0.74267700000000003</v>
      </c>
      <c r="U83" s="37">
        <v>2.395661</v>
      </c>
      <c r="V83" s="20">
        <v>1</v>
      </c>
      <c r="W83" s="37">
        <v>0.91735900000000004</v>
      </c>
      <c r="X83" s="37">
        <v>2.1227469999999999</v>
      </c>
      <c r="Y83" s="37">
        <v>7.0254260000000004</v>
      </c>
    </row>
    <row r="84" spans="1:25" s="21" customFormat="1" x14ac:dyDescent="0.25">
      <c r="B84" s="21" t="s">
        <v>461</v>
      </c>
      <c r="C84" s="29">
        <v>0.99118399999999995</v>
      </c>
      <c r="D84" s="37">
        <v>8.8160000000000009E-3</v>
      </c>
      <c r="E84" s="21">
        <v>0</v>
      </c>
      <c r="F84" s="21">
        <v>0.88538499999999998</v>
      </c>
      <c r="G84" s="21">
        <v>0.10356299999999999</v>
      </c>
      <c r="H84" s="21">
        <v>1.1051999999999999E-2</v>
      </c>
      <c r="I84" s="41"/>
      <c r="K84" s="37" t="s">
        <v>461</v>
      </c>
      <c r="L84" s="37">
        <v>0.91735900000000004</v>
      </c>
      <c r="M84" s="37">
        <v>2.1227469999999999</v>
      </c>
      <c r="N84" s="37">
        <v>1</v>
      </c>
      <c r="O84" s="37">
        <v>0.91735900000000004</v>
      </c>
      <c r="P84" s="37">
        <v>2.1227469999999999</v>
      </c>
      <c r="Q84" s="37">
        <v>1</v>
      </c>
      <c r="S84" s="37" t="s">
        <v>461</v>
      </c>
      <c r="T84" s="37">
        <v>0.74267700000000003</v>
      </c>
      <c r="U84" s="37">
        <v>2.395661</v>
      </c>
      <c r="V84" s="20">
        <v>1</v>
      </c>
      <c r="W84" s="37">
        <v>0.91735900000000004</v>
      </c>
      <c r="X84" s="37">
        <v>2.1227469999999999</v>
      </c>
      <c r="Y84" s="37">
        <v>1</v>
      </c>
    </row>
    <row r="85" spans="1:25" s="21" customFormat="1" x14ac:dyDescent="0.25">
      <c r="B85" s="21" t="s">
        <v>324</v>
      </c>
      <c r="C85" s="29">
        <v>0.99118399999999995</v>
      </c>
      <c r="D85" s="37">
        <v>8.8160000000000009E-3</v>
      </c>
      <c r="E85" s="21">
        <v>0</v>
      </c>
      <c r="F85" s="21">
        <v>0.88538499999999998</v>
      </c>
      <c r="G85" s="21">
        <v>0.10356299999999999</v>
      </c>
      <c r="H85" s="21">
        <v>1.1051999999999999E-2</v>
      </c>
      <c r="I85" s="41"/>
      <c r="K85" s="37" t="s">
        <v>324</v>
      </c>
      <c r="L85" s="37">
        <v>0.91735900000000004</v>
      </c>
      <c r="M85" s="37">
        <v>2.1227469999999999</v>
      </c>
      <c r="N85" s="37">
        <v>1</v>
      </c>
      <c r="O85" s="37">
        <v>0.91735900000000004</v>
      </c>
      <c r="P85" s="37">
        <v>2.1227469999999999</v>
      </c>
      <c r="Q85" s="37">
        <v>1</v>
      </c>
      <c r="S85" s="37" t="s">
        <v>324</v>
      </c>
      <c r="T85" s="37">
        <v>0.74267700000000003</v>
      </c>
      <c r="U85" s="37">
        <v>2.395661</v>
      </c>
      <c r="V85" s="20">
        <v>1</v>
      </c>
      <c r="W85" s="37">
        <v>0.91735900000000004</v>
      </c>
      <c r="X85" s="37">
        <v>2.1227469999999999</v>
      </c>
      <c r="Y85" s="37">
        <v>1</v>
      </c>
    </row>
    <row r="86" spans="1:25" s="21" customFormat="1" x14ac:dyDescent="0.25">
      <c r="B86" s="21" t="s">
        <v>462</v>
      </c>
      <c r="C86" s="29">
        <v>0.99118399999999995</v>
      </c>
      <c r="D86" s="37">
        <v>8.8160000000000009E-3</v>
      </c>
      <c r="E86" s="21">
        <v>0</v>
      </c>
      <c r="F86" s="21">
        <v>0.88538499999999998</v>
      </c>
      <c r="G86" s="21">
        <v>0.10356299999999999</v>
      </c>
      <c r="H86" s="21">
        <v>1.1051999999999999E-2</v>
      </c>
      <c r="I86" s="41"/>
      <c r="K86" s="37" t="s">
        <v>462</v>
      </c>
      <c r="L86" s="37">
        <v>0.91735900000000004</v>
      </c>
      <c r="M86" s="37">
        <v>2.1227469999999999</v>
      </c>
      <c r="N86" s="37">
        <v>1</v>
      </c>
      <c r="O86" s="37">
        <v>0.91735900000000004</v>
      </c>
      <c r="P86" s="37">
        <v>2.1227469999999999</v>
      </c>
      <c r="Q86" s="37">
        <v>1</v>
      </c>
      <c r="S86" s="37" t="s">
        <v>462</v>
      </c>
      <c r="T86" s="37">
        <v>0.74267700000000003</v>
      </c>
      <c r="U86" s="37">
        <v>2.395661</v>
      </c>
      <c r="V86" s="20">
        <v>1</v>
      </c>
      <c r="W86" s="37">
        <v>0.91735900000000004</v>
      </c>
      <c r="X86" s="37">
        <v>2.1227469999999999</v>
      </c>
      <c r="Y86" s="37">
        <v>1</v>
      </c>
    </row>
    <row r="87" spans="1:25" s="21" customFormat="1" x14ac:dyDescent="0.25">
      <c r="B87" s="21" t="s">
        <v>463</v>
      </c>
      <c r="C87" s="29">
        <v>0.99118399999999995</v>
      </c>
      <c r="D87" s="37">
        <v>8.8160000000000009E-3</v>
      </c>
      <c r="E87" s="21">
        <v>0</v>
      </c>
      <c r="F87" s="21">
        <v>0.88538499999999998</v>
      </c>
      <c r="G87" s="21">
        <v>0.10356299999999999</v>
      </c>
      <c r="H87" s="21">
        <v>1.1051999999999999E-2</v>
      </c>
      <c r="I87" s="41"/>
      <c r="K87" s="37" t="s">
        <v>463</v>
      </c>
      <c r="L87" s="37">
        <v>0.91735900000000004</v>
      </c>
      <c r="M87" s="37">
        <v>2.1227469999999999</v>
      </c>
      <c r="N87" s="37">
        <v>1</v>
      </c>
      <c r="O87" s="37">
        <v>0.91735900000000004</v>
      </c>
      <c r="P87" s="37">
        <v>2.1227469999999999</v>
      </c>
      <c r="Q87" s="37">
        <v>1</v>
      </c>
      <c r="S87" s="37" t="s">
        <v>463</v>
      </c>
      <c r="T87" s="37">
        <v>0.74267700000000003</v>
      </c>
      <c r="U87" s="37">
        <v>2.395661</v>
      </c>
      <c r="V87" s="20">
        <v>1</v>
      </c>
      <c r="W87" s="37">
        <v>0.91735900000000004</v>
      </c>
      <c r="X87" s="37">
        <v>2.1227469999999999</v>
      </c>
      <c r="Y87" s="37">
        <v>1</v>
      </c>
    </row>
    <row r="88" spans="1:25" s="21" customFormat="1" x14ac:dyDescent="0.25">
      <c r="B88" s="21" t="s">
        <v>464</v>
      </c>
      <c r="C88" s="29">
        <v>0.99118399999999995</v>
      </c>
      <c r="D88" s="37">
        <v>8.8160000000000009E-3</v>
      </c>
      <c r="E88" s="21">
        <v>0</v>
      </c>
      <c r="F88" s="21">
        <v>0.88538499999999998</v>
      </c>
      <c r="G88" s="21">
        <v>0.10356299999999999</v>
      </c>
      <c r="H88" s="21">
        <v>1.1051999999999999E-2</v>
      </c>
      <c r="I88" s="41"/>
      <c r="K88" s="37" t="s">
        <v>464</v>
      </c>
      <c r="L88" s="37">
        <v>0.91735900000000004</v>
      </c>
      <c r="M88" s="37">
        <v>2.1227469999999999</v>
      </c>
      <c r="N88" s="37">
        <v>1</v>
      </c>
      <c r="O88" s="37">
        <v>0.91735900000000004</v>
      </c>
      <c r="P88" s="37">
        <v>2.1227469999999999</v>
      </c>
      <c r="Q88" s="37">
        <v>1</v>
      </c>
      <c r="S88" s="37" t="s">
        <v>464</v>
      </c>
      <c r="T88" s="37">
        <v>0.74267700000000003</v>
      </c>
      <c r="U88" s="37">
        <v>2.395661</v>
      </c>
      <c r="V88" s="20">
        <v>1</v>
      </c>
      <c r="W88" s="37">
        <v>0.91735900000000004</v>
      </c>
      <c r="X88" s="37">
        <v>2.1227469999999999</v>
      </c>
      <c r="Y88" s="37">
        <v>1</v>
      </c>
    </row>
    <row r="89" spans="1:25" s="21" customFormat="1" x14ac:dyDescent="0.25">
      <c r="I89" s="41"/>
      <c r="K89" s="44" t="s">
        <v>1018</v>
      </c>
    </row>
    <row r="90" spans="1:25" x14ac:dyDescent="0.25">
      <c r="A90" s="2" t="s">
        <v>243</v>
      </c>
      <c r="F90" s="41"/>
      <c r="K90" t="s">
        <v>1082</v>
      </c>
    </row>
    <row r="91" spans="1:25" x14ac:dyDescent="0.25">
      <c r="K91" s="20" t="s">
        <v>705</v>
      </c>
    </row>
    <row r="92" spans="1:25" x14ac:dyDescent="0.25">
      <c r="A92" t="s">
        <v>234</v>
      </c>
      <c r="B92" t="s">
        <v>235</v>
      </c>
      <c r="H92" s="41"/>
      <c r="K92" s="71" t="s">
        <v>1218</v>
      </c>
    </row>
    <row r="93" spans="1:25" x14ac:dyDescent="0.25">
      <c r="B93" t="s">
        <v>236</v>
      </c>
      <c r="C93" t="s">
        <v>242</v>
      </c>
      <c r="D93" t="s">
        <v>222</v>
      </c>
      <c r="E93" t="s">
        <v>217</v>
      </c>
    </row>
    <row r="94" spans="1:25" x14ac:dyDescent="0.25">
      <c r="B94" t="s">
        <v>237</v>
      </c>
      <c r="C94">
        <v>1993</v>
      </c>
      <c r="D94">
        <v>16.899999999999999</v>
      </c>
      <c r="E94">
        <v>16.7</v>
      </c>
    </row>
    <row r="95" spans="1:25" x14ac:dyDescent="0.25">
      <c r="B95" t="s">
        <v>238</v>
      </c>
      <c r="C95">
        <v>1998</v>
      </c>
      <c r="D95">
        <v>16.7</v>
      </c>
      <c r="E95">
        <v>16.8</v>
      </c>
      <c r="K95" t="s">
        <v>1241</v>
      </c>
    </row>
    <row r="96" spans="1:25" x14ac:dyDescent="0.25">
      <c r="B96" t="s">
        <v>239</v>
      </c>
      <c r="C96">
        <v>2003</v>
      </c>
      <c r="D96">
        <v>17.8</v>
      </c>
      <c r="E96">
        <v>17.100000000000001</v>
      </c>
      <c r="L96" t="s">
        <v>490</v>
      </c>
      <c r="M96" t="s">
        <v>1242</v>
      </c>
      <c r="N96" t="s">
        <v>492</v>
      </c>
    </row>
    <row r="97" spans="1:14" x14ac:dyDescent="0.25">
      <c r="B97" t="s">
        <v>240</v>
      </c>
      <c r="C97">
        <v>2008</v>
      </c>
      <c r="D97">
        <v>18.2</v>
      </c>
      <c r="E97">
        <v>17.600000000000001</v>
      </c>
      <c r="K97" s="22" t="s">
        <v>338</v>
      </c>
      <c r="L97">
        <f>1-(M97+N97)</f>
        <v>0.9643294</v>
      </c>
      <c r="M97">
        <f>G76*0.95</f>
        <v>3.3444749999999995E-2</v>
      </c>
      <c r="N97">
        <f>H76*0.95</f>
        <v>2.2258500000000001E-3</v>
      </c>
    </row>
    <row r="98" spans="1:14" x14ac:dyDescent="0.25">
      <c r="B98" t="s">
        <v>241</v>
      </c>
      <c r="C98">
        <v>2014</v>
      </c>
      <c r="D98">
        <v>18</v>
      </c>
      <c r="E98">
        <v>17.399999999999999</v>
      </c>
      <c r="K98" t="s">
        <v>137</v>
      </c>
      <c r="L98">
        <f>1-(M98+N98)</f>
        <v>0.92490399999999995</v>
      </c>
      <c r="M98">
        <f>G76*2</f>
        <v>7.041E-2</v>
      </c>
      <c r="N98">
        <f>H76*2</f>
        <v>4.6860000000000001E-3</v>
      </c>
    </row>
    <row r="99" spans="1:14" x14ac:dyDescent="0.25">
      <c r="L99" s="37">
        <f>1-(M99+N99)</f>
        <v>0.95306500000000005</v>
      </c>
      <c r="M99" s="37">
        <f>G76*1.25</f>
        <v>4.4006249999999997E-2</v>
      </c>
      <c r="N99" s="37">
        <f>H76*1.25</f>
        <v>2.9287499999999999E-3</v>
      </c>
    </row>
    <row r="100" spans="1:14" x14ac:dyDescent="0.25">
      <c r="A100" s="2" t="s">
        <v>402</v>
      </c>
      <c r="L100" s="37">
        <f>1-(M100+N100)</f>
        <v>0.88735600000000003</v>
      </c>
      <c r="M100" s="37">
        <f>G76*3</f>
        <v>0.105615</v>
      </c>
      <c r="N100" s="37">
        <f>H76*3</f>
        <v>7.0290000000000005E-3</v>
      </c>
    </row>
    <row r="101" spans="1:14" x14ac:dyDescent="0.25">
      <c r="B101" t="s">
        <v>399</v>
      </c>
    </row>
    <row r="102" spans="1:14" x14ac:dyDescent="0.25">
      <c r="B102" t="s">
        <v>246</v>
      </c>
      <c r="C102" t="s">
        <v>222</v>
      </c>
      <c r="D102" t="s">
        <v>217</v>
      </c>
    </row>
    <row r="103" spans="1:14" x14ac:dyDescent="0.25">
      <c r="B103">
        <v>12</v>
      </c>
      <c r="C103">
        <v>2.1</v>
      </c>
      <c r="D103">
        <v>2.1</v>
      </c>
    </row>
    <row r="104" spans="1:14" x14ac:dyDescent="0.25">
      <c r="B104">
        <v>13</v>
      </c>
      <c r="C104">
        <v>4.2</v>
      </c>
      <c r="D104">
        <v>12.8</v>
      </c>
    </row>
    <row r="105" spans="1:14" x14ac:dyDescent="0.25">
      <c r="B105">
        <v>14</v>
      </c>
      <c r="C105">
        <v>8.4</v>
      </c>
      <c r="D105">
        <v>13.1</v>
      </c>
    </row>
    <row r="106" spans="1:14" x14ac:dyDescent="0.25">
      <c r="B106">
        <v>15</v>
      </c>
      <c r="C106">
        <v>11.6</v>
      </c>
      <c r="D106">
        <v>20.2</v>
      </c>
    </row>
    <row r="107" spans="1:14" x14ac:dyDescent="0.25">
      <c r="B107">
        <v>16</v>
      </c>
      <c r="C107">
        <v>17.7</v>
      </c>
      <c r="D107">
        <v>21.5</v>
      </c>
    </row>
    <row r="108" spans="1:14" x14ac:dyDescent="0.25">
      <c r="B108">
        <v>17</v>
      </c>
      <c r="C108">
        <v>40.9</v>
      </c>
      <c r="D108">
        <v>42.3</v>
      </c>
    </row>
    <row r="109" spans="1:14" x14ac:dyDescent="0.25">
      <c r="B109">
        <v>18</v>
      </c>
      <c r="C109">
        <v>59</v>
      </c>
      <c r="D109">
        <v>49.5</v>
      </c>
    </row>
    <row r="110" spans="1:14" x14ac:dyDescent="0.25">
      <c r="B110">
        <v>19</v>
      </c>
      <c r="C110">
        <v>66.8</v>
      </c>
      <c r="D110">
        <v>63.4</v>
      </c>
    </row>
    <row r="111" spans="1:14" x14ac:dyDescent="0.25">
      <c r="B111">
        <v>20</v>
      </c>
      <c r="C111">
        <v>80.5</v>
      </c>
      <c r="D111">
        <v>72.900000000000006</v>
      </c>
    </row>
    <row r="112" spans="1:14" x14ac:dyDescent="0.25">
      <c r="B112">
        <v>21</v>
      </c>
      <c r="C112">
        <v>87.5</v>
      </c>
      <c r="D112">
        <v>76.8</v>
      </c>
    </row>
    <row r="113" spans="2:13" x14ac:dyDescent="0.25">
      <c r="B113">
        <v>22</v>
      </c>
      <c r="C113">
        <v>92</v>
      </c>
      <c r="D113">
        <v>88.3</v>
      </c>
    </row>
    <row r="114" spans="2:13" x14ac:dyDescent="0.25">
      <c r="B114">
        <v>23</v>
      </c>
      <c r="C114">
        <v>97</v>
      </c>
      <c r="D114">
        <v>92.8</v>
      </c>
    </row>
    <row r="115" spans="2:13" x14ac:dyDescent="0.25">
      <c r="B115">
        <v>24</v>
      </c>
      <c r="C115">
        <v>95</v>
      </c>
      <c r="D115">
        <v>93.4</v>
      </c>
    </row>
    <row r="116" spans="2:13" x14ac:dyDescent="0.25">
      <c r="B116" t="s">
        <v>400</v>
      </c>
    </row>
    <row r="118" spans="2:13" x14ac:dyDescent="0.25">
      <c r="B118" t="s">
        <v>401</v>
      </c>
    </row>
    <row r="119" spans="2:13" x14ac:dyDescent="0.25">
      <c r="C119" t="s">
        <v>215</v>
      </c>
      <c r="D119" t="s">
        <v>217</v>
      </c>
      <c r="E119" t="s">
        <v>144</v>
      </c>
    </row>
    <row r="120" spans="2:13" x14ac:dyDescent="0.25">
      <c r="B120">
        <v>2007</v>
      </c>
      <c r="C120">
        <v>16.399999999999999</v>
      </c>
      <c r="D120">
        <v>33.700000000000003</v>
      </c>
      <c r="E120">
        <v>23.8</v>
      </c>
    </row>
    <row r="121" spans="2:13" x14ac:dyDescent="0.25">
      <c r="B121">
        <v>2012</v>
      </c>
      <c r="C121">
        <v>16.100000000000001</v>
      </c>
      <c r="D121">
        <v>26.6</v>
      </c>
      <c r="E121">
        <v>21</v>
      </c>
    </row>
    <row r="123" spans="2:13" x14ac:dyDescent="0.25">
      <c r="B123" t="s">
        <v>408</v>
      </c>
      <c r="G123" t="s">
        <v>410</v>
      </c>
    </row>
    <row r="124" spans="2:13" x14ac:dyDescent="0.25">
      <c r="B124" t="s">
        <v>409</v>
      </c>
      <c r="C124" t="s">
        <v>215</v>
      </c>
      <c r="D124" t="s">
        <v>217</v>
      </c>
      <c r="G124" t="s">
        <v>409</v>
      </c>
      <c r="H124" t="s">
        <v>215</v>
      </c>
      <c r="I124" t="s">
        <v>217</v>
      </c>
      <c r="L124" t="s">
        <v>217</v>
      </c>
      <c r="M124" t="s">
        <v>215</v>
      </c>
    </row>
    <row r="125" spans="2:13" x14ac:dyDescent="0.25">
      <c r="B125" s="17">
        <v>0</v>
      </c>
      <c r="C125">
        <v>11.8</v>
      </c>
      <c r="D125">
        <v>14.3</v>
      </c>
      <c r="G125" s="17">
        <v>0</v>
      </c>
      <c r="H125">
        <v>29.7</v>
      </c>
      <c r="I125">
        <v>27</v>
      </c>
      <c r="K125" t="s">
        <v>490</v>
      </c>
      <c r="L125">
        <f>SUM(I125+I126)</f>
        <v>84.8</v>
      </c>
      <c r="M125">
        <f>H125+H126</f>
        <v>97.600000000000009</v>
      </c>
    </row>
    <row r="126" spans="2:13" x14ac:dyDescent="0.25">
      <c r="B126" s="17">
        <v>1</v>
      </c>
      <c r="C126">
        <v>38</v>
      </c>
      <c r="D126">
        <v>12.5</v>
      </c>
      <c r="G126" s="17">
        <v>1</v>
      </c>
      <c r="H126">
        <v>67.900000000000006</v>
      </c>
      <c r="I126">
        <v>57.8</v>
      </c>
      <c r="K126" t="s">
        <v>491</v>
      </c>
      <c r="L126">
        <f>I127</f>
        <v>9.9</v>
      </c>
      <c r="M126">
        <f>H127</f>
        <v>1.7</v>
      </c>
    </row>
    <row r="127" spans="2:13" x14ac:dyDescent="0.25">
      <c r="B127" s="15" t="s">
        <v>403</v>
      </c>
      <c r="C127">
        <v>36.1</v>
      </c>
      <c r="D127">
        <v>24.7</v>
      </c>
      <c r="G127" s="15" t="s">
        <v>411</v>
      </c>
      <c r="H127">
        <v>1.7</v>
      </c>
      <c r="I127">
        <v>9.9</v>
      </c>
      <c r="K127" t="s">
        <v>492</v>
      </c>
      <c r="L127">
        <f>I128+I129</f>
        <v>5.3</v>
      </c>
      <c r="M127">
        <f>H128+H129</f>
        <v>0.8</v>
      </c>
    </row>
    <row r="128" spans="2:13" x14ac:dyDescent="0.25">
      <c r="B128" s="15" t="s">
        <v>404</v>
      </c>
      <c r="C128">
        <v>7.8</v>
      </c>
      <c r="D128">
        <v>16.100000000000001</v>
      </c>
      <c r="G128" s="15" t="s">
        <v>412</v>
      </c>
      <c r="H128">
        <v>0.5</v>
      </c>
      <c r="I128">
        <v>4.3</v>
      </c>
    </row>
    <row r="129" spans="1:9" x14ac:dyDescent="0.25">
      <c r="B129" s="15" t="s">
        <v>405</v>
      </c>
      <c r="C129">
        <v>1.5</v>
      </c>
      <c r="D129">
        <v>8.6999999999999993</v>
      </c>
      <c r="G129" s="15" t="s">
        <v>407</v>
      </c>
      <c r="H129">
        <v>0.3</v>
      </c>
      <c r="I129">
        <v>1</v>
      </c>
    </row>
    <row r="130" spans="1:9" x14ac:dyDescent="0.25">
      <c r="B130" s="15" t="s">
        <v>406</v>
      </c>
      <c r="C130">
        <v>1</v>
      </c>
      <c r="D130">
        <v>14.9</v>
      </c>
    </row>
    <row r="131" spans="1:9" x14ac:dyDescent="0.25">
      <c r="B131" s="15" t="s">
        <v>407</v>
      </c>
      <c r="C131">
        <v>3.7</v>
      </c>
      <c r="D131">
        <v>8.6999999999999993</v>
      </c>
    </row>
    <row r="133" spans="1:9" x14ac:dyDescent="0.25">
      <c r="B133" s="15" t="s">
        <v>416</v>
      </c>
    </row>
    <row r="134" spans="1:9" x14ac:dyDescent="0.25">
      <c r="B134" s="22" t="s">
        <v>153</v>
      </c>
      <c r="C134" t="s">
        <v>215</v>
      </c>
      <c r="D134" t="s">
        <v>217</v>
      </c>
      <c r="F134" t="s">
        <v>158</v>
      </c>
      <c r="G134" t="s">
        <v>215</v>
      </c>
      <c r="H134" t="s">
        <v>223</v>
      </c>
      <c r="I134" t="s">
        <v>144</v>
      </c>
    </row>
    <row r="135" spans="1:9" x14ac:dyDescent="0.25">
      <c r="B135" s="15" t="s">
        <v>413</v>
      </c>
      <c r="C135">
        <v>3.8</v>
      </c>
      <c r="D135">
        <v>5.2</v>
      </c>
      <c r="G135" s="13">
        <v>0.1</v>
      </c>
      <c r="H135" s="13">
        <v>0.23</v>
      </c>
      <c r="I135" s="13">
        <v>0.16</v>
      </c>
    </row>
    <row r="136" spans="1:9" x14ac:dyDescent="0.25">
      <c r="B136" s="15" t="s">
        <v>414</v>
      </c>
      <c r="C136">
        <v>31.4</v>
      </c>
      <c r="D136">
        <v>44.7</v>
      </c>
    </row>
    <row r="137" spans="1:9" x14ac:dyDescent="0.25">
      <c r="B137" s="15" t="s">
        <v>415</v>
      </c>
      <c r="C137">
        <v>32.799999999999997</v>
      </c>
      <c r="D137">
        <v>46.1</v>
      </c>
    </row>
    <row r="138" spans="1:9" x14ac:dyDescent="0.25">
      <c r="B138" s="15" t="s">
        <v>144</v>
      </c>
      <c r="C138">
        <v>8.6</v>
      </c>
      <c r="D138">
        <v>19.899999999999999</v>
      </c>
    </row>
    <row r="140" spans="1:9" x14ac:dyDescent="0.25">
      <c r="A140" s="2" t="s">
        <v>466</v>
      </c>
      <c r="B140" s="15"/>
    </row>
    <row r="141" spans="1:9" x14ac:dyDescent="0.25">
      <c r="B141" s="22" t="s">
        <v>467</v>
      </c>
    </row>
    <row r="142" spans="1:9" x14ac:dyDescent="0.25">
      <c r="B142" s="22" t="s">
        <v>246</v>
      </c>
      <c r="C142" t="s">
        <v>469</v>
      </c>
      <c r="D142" t="s">
        <v>468</v>
      </c>
    </row>
    <row r="143" spans="1:9" x14ac:dyDescent="0.25">
      <c r="B143" t="s">
        <v>137</v>
      </c>
      <c r="C143">
        <v>0.97099999999999997</v>
      </c>
      <c r="D143">
        <v>2.8999999999999998E-2</v>
      </c>
    </row>
    <row r="144" spans="1:9" x14ac:dyDescent="0.25">
      <c r="B144" t="s">
        <v>138</v>
      </c>
      <c r="C144" s="21">
        <v>0.96699999999999997</v>
      </c>
      <c r="D144" s="21">
        <v>3.3000000000000002E-2</v>
      </c>
    </row>
    <row r="145" spans="1:10" x14ac:dyDescent="0.25">
      <c r="B145" t="s">
        <v>139</v>
      </c>
      <c r="C145" s="21">
        <v>0.97699999999999998</v>
      </c>
      <c r="D145" s="21">
        <v>2.3E-2</v>
      </c>
    </row>
    <row r="146" spans="1:10" x14ac:dyDescent="0.25">
      <c r="B146" t="s">
        <v>140</v>
      </c>
      <c r="C146" s="21">
        <v>0.98099999999999998</v>
      </c>
      <c r="D146" s="21">
        <v>1.9E-2</v>
      </c>
    </row>
    <row r="147" spans="1:10" x14ac:dyDescent="0.25">
      <c r="B147" t="s">
        <v>141</v>
      </c>
      <c r="C147" s="21">
        <v>0.97699999999999998</v>
      </c>
      <c r="D147" s="21">
        <v>2.3E-2</v>
      </c>
    </row>
    <row r="148" spans="1:10" x14ac:dyDescent="0.25">
      <c r="B148" t="s">
        <v>142</v>
      </c>
      <c r="C148" s="21">
        <v>0.98799999999999999</v>
      </c>
      <c r="D148" s="21">
        <v>1.2E-2</v>
      </c>
    </row>
    <row r="149" spans="1:10" x14ac:dyDescent="0.25">
      <c r="B149" t="s">
        <v>143</v>
      </c>
      <c r="C149" s="21">
        <v>0.98899999999999999</v>
      </c>
      <c r="D149" s="21">
        <v>1.1000000000000001E-2</v>
      </c>
    </row>
    <row r="153" spans="1:10" x14ac:dyDescent="0.25">
      <c r="A153" s="2" t="s">
        <v>526</v>
      </c>
      <c r="B153" s="36"/>
      <c r="C153" s="36"/>
      <c r="D153" s="36"/>
    </row>
    <row r="154" spans="1:10" x14ac:dyDescent="0.25">
      <c r="A154" s="36" t="s">
        <v>527</v>
      </c>
      <c r="B154" s="36"/>
      <c r="C154" s="36"/>
      <c r="D154" s="36"/>
    </row>
    <row r="155" spans="1:10" x14ac:dyDescent="0.25">
      <c r="A155" s="36" t="s">
        <v>523</v>
      </c>
      <c r="B155" s="36"/>
      <c r="C155" s="36"/>
      <c r="D155" s="36"/>
    </row>
    <row r="156" spans="1:10" x14ac:dyDescent="0.25">
      <c r="A156" s="36" t="s">
        <v>500</v>
      </c>
      <c r="B156" s="36" t="s">
        <v>524</v>
      </c>
      <c r="C156" s="36" t="s">
        <v>525</v>
      </c>
      <c r="D156" s="36"/>
    </row>
    <row r="157" spans="1:10" x14ac:dyDescent="0.25">
      <c r="A157" s="36">
        <v>1985</v>
      </c>
      <c r="B157" s="36">
        <v>0.3</v>
      </c>
      <c r="C157" s="36">
        <v>0.3</v>
      </c>
      <c r="D157" s="36"/>
    </row>
    <row r="158" spans="1:10" x14ac:dyDescent="0.25">
      <c r="A158" s="36">
        <v>1990</v>
      </c>
      <c r="B158" s="36">
        <v>0.4</v>
      </c>
      <c r="C158" s="36">
        <v>0.4</v>
      </c>
      <c r="D158" s="36"/>
    </row>
    <row r="159" spans="1:10" x14ac:dyDescent="0.25">
      <c r="A159" s="36">
        <v>2000</v>
      </c>
      <c r="B159" s="36">
        <v>0.1</v>
      </c>
      <c r="C159" s="36">
        <v>0.1</v>
      </c>
      <c r="D159" s="36"/>
    </row>
    <row r="160" spans="1:10" x14ac:dyDescent="0.25">
      <c r="J160">
        <f>5407*0.015</f>
        <v>81.105000000000004</v>
      </c>
    </row>
    <row r="162" spans="1:15" x14ac:dyDescent="0.25">
      <c r="A162" s="2" t="s">
        <v>612</v>
      </c>
    </row>
    <row r="163" spans="1:15" x14ac:dyDescent="0.25">
      <c r="A163" s="36" t="s">
        <v>613</v>
      </c>
      <c r="B163" s="36"/>
      <c r="C163" s="36"/>
      <c r="D163" s="36"/>
      <c r="E163" s="36"/>
      <c r="F163" s="36"/>
      <c r="J163" s="37" t="s">
        <v>610</v>
      </c>
      <c r="K163" s="37"/>
      <c r="L163" s="37"/>
      <c r="M163" s="37"/>
      <c r="N163" s="37"/>
      <c r="O163" s="37"/>
    </row>
    <row r="164" spans="1:15" x14ac:dyDescent="0.25">
      <c r="A164" s="36" t="s">
        <v>596</v>
      </c>
      <c r="B164" s="36"/>
      <c r="C164" s="36"/>
      <c r="D164" s="36"/>
      <c r="E164" s="36"/>
      <c r="F164" s="36"/>
      <c r="J164" s="37" t="s">
        <v>596</v>
      </c>
      <c r="K164" s="37"/>
      <c r="L164" s="37"/>
      <c r="M164" s="37"/>
      <c r="N164" s="37"/>
      <c r="O164" s="37"/>
    </row>
    <row r="165" spans="1:15" x14ac:dyDescent="0.25">
      <c r="A165" s="36" t="s">
        <v>597</v>
      </c>
      <c r="B165" s="36"/>
      <c r="C165" s="36"/>
      <c r="D165" s="36"/>
      <c r="E165" s="36"/>
      <c r="F165" s="36"/>
      <c r="J165" s="37" t="s">
        <v>597</v>
      </c>
      <c r="K165" s="37"/>
      <c r="L165" s="37"/>
      <c r="M165" s="37"/>
      <c r="N165" s="37"/>
      <c r="O165" s="37"/>
    </row>
    <row r="166" spans="1:15" x14ac:dyDescent="0.25">
      <c r="A166" s="74" t="s">
        <v>150</v>
      </c>
      <c r="B166" s="74"/>
      <c r="C166" s="74"/>
      <c r="D166" s="74" t="s">
        <v>598</v>
      </c>
      <c r="E166" s="74"/>
      <c r="F166" s="74"/>
      <c r="J166" s="37" t="s">
        <v>150</v>
      </c>
      <c r="K166" s="37"/>
      <c r="L166" s="37"/>
      <c r="M166" s="37" t="s">
        <v>598</v>
      </c>
      <c r="N166" s="37"/>
      <c r="O166" s="37"/>
    </row>
    <row r="167" spans="1:15" x14ac:dyDescent="0.25">
      <c r="A167" s="74"/>
      <c r="B167" s="74"/>
      <c r="C167" s="74" t="s">
        <v>599</v>
      </c>
      <c r="D167" s="74" t="s">
        <v>600</v>
      </c>
      <c r="E167" s="74" t="s">
        <v>491</v>
      </c>
      <c r="F167" s="74" t="s">
        <v>492</v>
      </c>
      <c r="J167" s="37"/>
      <c r="K167" s="37"/>
      <c r="L167" s="37" t="s">
        <v>599</v>
      </c>
      <c r="M167" s="37" t="s">
        <v>600</v>
      </c>
      <c r="N167" s="37" t="s">
        <v>491</v>
      </c>
      <c r="O167" s="37" t="s">
        <v>492</v>
      </c>
    </row>
    <row r="168" spans="1:15" x14ac:dyDescent="0.25">
      <c r="A168" s="74" t="s">
        <v>601</v>
      </c>
      <c r="B168" s="74">
        <v>1</v>
      </c>
      <c r="C168" s="74"/>
      <c r="D168" s="74">
        <v>0</v>
      </c>
      <c r="E168" s="74">
        <v>0</v>
      </c>
      <c r="F168" s="74">
        <v>0</v>
      </c>
      <c r="J168" s="37" t="s">
        <v>601</v>
      </c>
      <c r="K168" s="37"/>
      <c r="L168" s="37"/>
      <c r="M168" s="37">
        <v>0</v>
      </c>
      <c r="N168" s="37">
        <v>0</v>
      </c>
      <c r="O168" s="37">
        <v>0</v>
      </c>
    </row>
    <row r="169" spans="1:15" x14ac:dyDescent="0.25">
      <c r="A169" s="74" t="s">
        <v>459</v>
      </c>
      <c r="B169" s="74">
        <v>2</v>
      </c>
      <c r="C169" s="74"/>
      <c r="D169" s="74">
        <v>0</v>
      </c>
      <c r="E169" s="74">
        <v>0</v>
      </c>
      <c r="F169" s="74">
        <v>0</v>
      </c>
      <c r="J169" s="35" t="s">
        <v>459</v>
      </c>
      <c r="K169" s="37"/>
      <c r="L169" s="37"/>
      <c r="M169" s="37">
        <v>0</v>
      </c>
      <c r="N169" s="37">
        <v>0</v>
      </c>
      <c r="O169" s="37">
        <v>0</v>
      </c>
    </row>
    <row r="170" spans="1:15" x14ac:dyDescent="0.25">
      <c r="A170" s="74" t="s">
        <v>338</v>
      </c>
      <c r="B170" s="74">
        <v>3</v>
      </c>
      <c r="C170" s="74"/>
      <c r="D170" s="74">
        <f>0.8*M170</f>
        <v>2.4960000000000004</v>
      </c>
      <c r="E170" s="74">
        <f>0.8*N170</f>
        <v>1.4976000000000003</v>
      </c>
      <c r="F170" s="74">
        <f>0.8*O170</f>
        <v>0.89856000000000003</v>
      </c>
      <c r="J170" s="35" t="s">
        <v>338</v>
      </c>
      <c r="K170" s="37"/>
      <c r="L170" s="37">
        <v>0.05</v>
      </c>
      <c r="M170" s="37">
        <v>3.12</v>
      </c>
      <c r="N170" s="37">
        <v>1.8720000000000001</v>
      </c>
      <c r="O170" s="37">
        <v>1.1232</v>
      </c>
    </row>
    <row r="171" spans="1:15" x14ac:dyDescent="0.25">
      <c r="A171" s="74" t="s">
        <v>311</v>
      </c>
      <c r="B171" s="74">
        <v>4</v>
      </c>
      <c r="C171" s="74"/>
      <c r="D171" s="74">
        <f t="shared" ref="D171:D183" si="0">0.8*M171</f>
        <v>12.48</v>
      </c>
      <c r="E171" s="74">
        <f t="shared" ref="E171:E183" si="1">0.8*N171</f>
        <v>7.4879999999999995</v>
      </c>
      <c r="F171" s="74">
        <f t="shared" ref="F171:F183" si="2">0.8*O171</f>
        <v>4.4927999999999999</v>
      </c>
      <c r="J171" s="37" t="s">
        <v>311</v>
      </c>
      <c r="K171" s="37"/>
      <c r="L171" s="37">
        <v>0.1</v>
      </c>
      <c r="M171" s="37">
        <v>15.6</v>
      </c>
      <c r="N171" s="37">
        <v>9.36</v>
      </c>
      <c r="O171" s="37">
        <v>5.6159999999999997</v>
      </c>
    </row>
    <row r="172" spans="1:15" x14ac:dyDescent="0.25">
      <c r="A172" s="74" t="s">
        <v>602</v>
      </c>
      <c r="B172" s="74">
        <v>5</v>
      </c>
      <c r="C172" s="74"/>
      <c r="D172" s="74">
        <f t="shared" si="0"/>
        <v>49.92</v>
      </c>
      <c r="E172" s="74">
        <f t="shared" si="1"/>
        <v>29.951999999999998</v>
      </c>
      <c r="F172" s="74">
        <f t="shared" si="2"/>
        <v>17.9712</v>
      </c>
      <c r="J172" s="37" t="s">
        <v>602</v>
      </c>
      <c r="K172" s="37">
        <v>1</v>
      </c>
      <c r="L172" s="37">
        <v>0.4</v>
      </c>
      <c r="M172" s="37">
        <v>62.4</v>
      </c>
      <c r="N172" s="37">
        <v>37.44</v>
      </c>
      <c r="O172" s="37">
        <v>22.463999999999999</v>
      </c>
    </row>
    <row r="173" spans="1:15" x14ac:dyDescent="0.25">
      <c r="A173" s="74" t="s">
        <v>139</v>
      </c>
      <c r="B173" s="74">
        <v>6</v>
      </c>
      <c r="C173" s="74"/>
      <c r="D173" s="74">
        <f t="shared" si="0"/>
        <v>124.80000000000001</v>
      </c>
      <c r="E173" s="74">
        <f t="shared" si="1"/>
        <v>74.88</v>
      </c>
      <c r="F173" s="74">
        <f t="shared" si="2"/>
        <v>44.927999999999997</v>
      </c>
      <c r="J173" s="37" t="s">
        <v>139</v>
      </c>
      <c r="K173" s="37">
        <v>5</v>
      </c>
      <c r="L173" s="37"/>
      <c r="M173" s="37">
        <v>156</v>
      </c>
      <c r="N173" s="37">
        <v>93.6</v>
      </c>
      <c r="O173" s="37">
        <v>56.16</v>
      </c>
    </row>
    <row r="174" spans="1:15" x14ac:dyDescent="0.25">
      <c r="A174" s="74" t="s">
        <v>314</v>
      </c>
      <c r="B174" s="74">
        <v>7</v>
      </c>
      <c r="C174" s="74"/>
      <c r="D174" s="74">
        <f t="shared" si="0"/>
        <v>88.24692632</v>
      </c>
      <c r="E174" s="74">
        <f t="shared" si="1"/>
        <v>52.948155776</v>
      </c>
      <c r="F174" s="74">
        <f t="shared" si="2"/>
        <v>31.768893464000001</v>
      </c>
      <c r="J174" s="37" t="s">
        <v>314</v>
      </c>
      <c r="K174" s="37">
        <v>10</v>
      </c>
      <c r="L174" s="37">
        <v>0.70710678100000002</v>
      </c>
      <c r="M174" s="37">
        <v>110.3086579</v>
      </c>
      <c r="N174" s="37">
        <v>66.185194719999998</v>
      </c>
      <c r="O174" s="37">
        <v>39.711116830000002</v>
      </c>
    </row>
    <row r="175" spans="1:15" x14ac:dyDescent="0.25">
      <c r="A175" s="74" t="s">
        <v>315</v>
      </c>
      <c r="B175" s="74">
        <v>8</v>
      </c>
      <c r="C175" s="74"/>
      <c r="D175" s="74">
        <f t="shared" si="0"/>
        <v>62.400000000000006</v>
      </c>
      <c r="E175" s="74">
        <f t="shared" si="1"/>
        <v>37.44</v>
      </c>
      <c r="F175" s="74">
        <f t="shared" si="2"/>
        <v>22.463999999999999</v>
      </c>
      <c r="J175" s="37" t="s">
        <v>315</v>
      </c>
      <c r="K175" s="37">
        <v>15</v>
      </c>
      <c r="L175" s="37">
        <v>0.5</v>
      </c>
      <c r="M175" s="37">
        <v>78</v>
      </c>
      <c r="N175" s="37">
        <v>46.8</v>
      </c>
      <c r="O175" s="37">
        <v>28.08</v>
      </c>
    </row>
    <row r="176" spans="1:15" x14ac:dyDescent="0.25">
      <c r="A176" s="74" t="s">
        <v>316</v>
      </c>
      <c r="B176" s="74">
        <v>9</v>
      </c>
      <c r="C176" s="74"/>
      <c r="D176" s="74">
        <f t="shared" si="0"/>
        <v>44.123463143999999</v>
      </c>
      <c r="E176" s="74">
        <f t="shared" si="1"/>
        <v>26.474077888</v>
      </c>
      <c r="F176" s="74">
        <f t="shared" si="2"/>
        <v>15.884446736000001</v>
      </c>
      <c r="J176" s="37" t="s">
        <v>316</v>
      </c>
      <c r="K176" s="37">
        <v>20</v>
      </c>
      <c r="L176" s="37">
        <v>0.35355339099999999</v>
      </c>
      <c r="M176" s="37">
        <v>55.154328929999998</v>
      </c>
      <c r="N176" s="37">
        <v>33.092597359999999</v>
      </c>
      <c r="O176" s="37">
        <v>19.855558420000001</v>
      </c>
    </row>
    <row r="177" spans="1:15" x14ac:dyDescent="0.25">
      <c r="A177" s="74" t="s">
        <v>317</v>
      </c>
      <c r="B177" s="74">
        <v>10</v>
      </c>
      <c r="C177" s="74"/>
      <c r="D177" s="74">
        <f t="shared" si="0"/>
        <v>31.200000000000003</v>
      </c>
      <c r="E177" s="74">
        <f t="shared" si="1"/>
        <v>18.72</v>
      </c>
      <c r="F177" s="74">
        <f t="shared" si="2"/>
        <v>11.231999999999999</v>
      </c>
      <c r="J177" s="37" t="s">
        <v>317</v>
      </c>
      <c r="K177" s="37">
        <v>25</v>
      </c>
      <c r="L177" s="37">
        <v>0.25</v>
      </c>
      <c r="M177" s="37">
        <v>39</v>
      </c>
      <c r="N177" s="37">
        <v>23.4</v>
      </c>
      <c r="O177" s="37">
        <v>14.04</v>
      </c>
    </row>
    <row r="178" spans="1:15" x14ac:dyDescent="0.25">
      <c r="A178" s="74" t="s">
        <v>603</v>
      </c>
      <c r="B178" s="74">
        <v>11</v>
      </c>
      <c r="C178" s="74"/>
      <c r="D178" s="74">
        <f t="shared" si="0"/>
        <v>22.061731576</v>
      </c>
      <c r="E178" s="74">
        <f t="shared" si="1"/>
        <v>13.237038944</v>
      </c>
      <c r="F178" s="74">
        <f t="shared" si="2"/>
        <v>7.9422233664000004</v>
      </c>
      <c r="J178" s="37" t="s">
        <v>603</v>
      </c>
      <c r="K178" s="37">
        <v>30</v>
      </c>
      <c r="L178" s="37">
        <v>0.17677669500000001</v>
      </c>
      <c r="M178" s="37">
        <v>27.57716447</v>
      </c>
      <c r="N178" s="37">
        <v>16.54629868</v>
      </c>
      <c r="O178" s="37">
        <v>9.9277792080000005</v>
      </c>
    </row>
    <row r="179" spans="1:15" x14ac:dyDescent="0.25">
      <c r="A179" s="74" t="s">
        <v>319</v>
      </c>
      <c r="B179" s="74">
        <v>12</v>
      </c>
      <c r="C179" s="74"/>
      <c r="D179" s="74">
        <f t="shared" si="0"/>
        <v>15.600000000000001</v>
      </c>
      <c r="E179" s="74">
        <f t="shared" si="1"/>
        <v>9.36</v>
      </c>
      <c r="F179" s="74">
        <f t="shared" si="2"/>
        <v>5.6159999999999997</v>
      </c>
      <c r="J179" s="37" t="s">
        <v>319</v>
      </c>
      <c r="K179" s="37">
        <v>35</v>
      </c>
      <c r="L179" s="37">
        <v>0.125</v>
      </c>
      <c r="M179" s="37">
        <v>19.5</v>
      </c>
      <c r="N179" s="37">
        <v>11.7</v>
      </c>
      <c r="O179" s="37">
        <v>7.02</v>
      </c>
    </row>
    <row r="180" spans="1:15" x14ac:dyDescent="0.25">
      <c r="A180" s="74" t="s">
        <v>324</v>
      </c>
      <c r="B180" s="74">
        <v>13</v>
      </c>
      <c r="C180" s="74"/>
      <c r="D180" s="74">
        <f t="shared" si="0"/>
        <v>11.030865784</v>
      </c>
      <c r="E180" s="74">
        <f t="shared" si="1"/>
        <v>6.618519472</v>
      </c>
      <c r="F180" s="74">
        <f t="shared" si="2"/>
        <v>3.9711116832000002</v>
      </c>
      <c r="J180" s="37" t="s">
        <v>324</v>
      </c>
      <c r="K180" s="37">
        <v>40</v>
      </c>
      <c r="L180" s="37">
        <v>8.8388348000000005E-2</v>
      </c>
      <c r="M180" s="37">
        <v>13.788582229999999</v>
      </c>
      <c r="N180" s="37">
        <v>8.2731493399999998</v>
      </c>
      <c r="O180" s="37">
        <v>4.9638896040000002</v>
      </c>
    </row>
    <row r="181" spans="1:15" x14ac:dyDescent="0.25">
      <c r="A181" s="74" t="s">
        <v>462</v>
      </c>
      <c r="B181" s="74">
        <v>14</v>
      </c>
      <c r="C181" s="74"/>
      <c r="D181" s="74">
        <f t="shared" si="0"/>
        <v>7.8000000000000007</v>
      </c>
      <c r="E181" s="74">
        <f t="shared" si="1"/>
        <v>4.68</v>
      </c>
      <c r="F181" s="74">
        <f t="shared" si="2"/>
        <v>2.8079999999999998</v>
      </c>
      <c r="J181" s="37" t="s">
        <v>462</v>
      </c>
      <c r="K181" s="37">
        <v>45</v>
      </c>
      <c r="L181" s="37">
        <v>6.25E-2</v>
      </c>
      <c r="M181" s="37">
        <v>9.75</v>
      </c>
      <c r="N181" s="37">
        <v>5.85</v>
      </c>
      <c r="O181" s="37">
        <v>3.51</v>
      </c>
    </row>
    <row r="182" spans="1:15" x14ac:dyDescent="0.25">
      <c r="A182" s="74" t="s">
        <v>463</v>
      </c>
      <c r="B182" s="74">
        <v>15</v>
      </c>
      <c r="C182" s="74"/>
      <c r="D182" s="74">
        <f t="shared" si="0"/>
        <v>5.5154328935999999</v>
      </c>
      <c r="E182" s="74">
        <f t="shared" si="1"/>
        <v>3.309259736</v>
      </c>
      <c r="F182" s="74">
        <f t="shared" si="2"/>
        <v>1.9855558416000001</v>
      </c>
      <c r="J182" s="37" t="s">
        <v>463</v>
      </c>
      <c r="K182" s="37">
        <v>50</v>
      </c>
      <c r="L182" s="37">
        <v>4.4194174000000003E-2</v>
      </c>
      <c r="M182" s="37">
        <v>6.8942911169999999</v>
      </c>
      <c r="N182" s="37">
        <v>4.1365746699999999</v>
      </c>
      <c r="O182" s="37">
        <v>2.4819448020000001</v>
      </c>
    </row>
    <row r="183" spans="1:15" x14ac:dyDescent="0.25">
      <c r="A183" s="74" t="s">
        <v>464</v>
      </c>
      <c r="B183" s="74">
        <v>16</v>
      </c>
      <c r="C183" s="74"/>
      <c r="D183" s="74">
        <f t="shared" si="0"/>
        <v>3.9000000000000004</v>
      </c>
      <c r="E183" s="74">
        <f t="shared" si="1"/>
        <v>2.34</v>
      </c>
      <c r="F183" s="74">
        <f t="shared" si="2"/>
        <v>1.4039999999999999</v>
      </c>
      <c r="J183" s="37" t="s">
        <v>464</v>
      </c>
      <c r="K183" s="37">
        <v>55</v>
      </c>
      <c r="L183" s="37">
        <v>3.125E-2</v>
      </c>
      <c r="M183" s="37">
        <v>4.875</v>
      </c>
      <c r="N183" s="37">
        <v>2.9249999999999998</v>
      </c>
      <c r="O183" s="37">
        <v>1.7549999999999999</v>
      </c>
    </row>
    <row r="184" spans="1:15" x14ac:dyDescent="0.25">
      <c r="A184" s="74"/>
      <c r="B184" s="74"/>
      <c r="C184" s="74"/>
      <c r="D184" s="74"/>
      <c r="E184" s="74"/>
      <c r="F184" s="74"/>
      <c r="J184" s="37"/>
      <c r="K184" s="37"/>
      <c r="L184" s="37"/>
      <c r="M184" s="37"/>
      <c r="N184" s="37"/>
      <c r="O184" s="37"/>
    </row>
    <row r="185" spans="1:15" x14ac:dyDescent="0.25">
      <c r="A185" s="74" t="s">
        <v>604</v>
      </c>
      <c r="B185" s="74"/>
      <c r="C185" s="74"/>
      <c r="D185" s="74"/>
      <c r="E185" s="74"/>
      <c r="F185" s="74"/>
      <c r="G185" s="72"/>
      <c r="H185" s="72"/>
      <c r="I185" s="72"/>
      <c r="J185" s="72" t="s">
        <v>604</v>
      </c>
      <c r="K185" s="72"/>
      <c r="L185" s="72"/>
      <c r="M185" s="72"/>
      <c r="N185" s="72"/>
      <c r="O185" s="72"/>
    </row>
    <row r="186" spans="1:15" x14ac:dyDescent="0.25">
      <c r="A186" s="74" t="s">
        <v>605</v>
      </c>
      <c r="B186" s="74"/>
      <c r="C186" s="74"/>
      <c r="D186" s="74" t="s">
        <v>598</v>
      </c>
      <c r="E186" s="74"/>
      <c r="F186" s="74"/>
      <c r="G186" s="72"/>
      <c r="H186" s="72"/>
      <c r="I186" s="72"/>
      <c r="J186" s="72" t="s">
        <v>605</v>
      </c>
      <c r="K186" s="72"/>
      <c r="L186" s="72"/>
      <c r="M186" s="72" t="s">
        <v>598</v>
      </c>
      <c r="N186" s="72"/>
      <c r="O186" s="72"/>
    </row>
    <row r="187" spans="1:15" x14ac:dyDescent="0.25">
      <c r="A187" s="74"/>
      <c r="B187" s="74"/>
      <c r="C187" s="74" t="s">
        <v>599</v>
      </c>
      <c r="D187" s="74" t="s">
        <v>600</v>
      </c>
      <c r="E187" s="74" t="s">
        <v>491</v>
      </c>
      <c r="F187" s="74" t="s">
        <v>492</v>
      </c>
      <c r="G187" s="72"/>
      <c r="H187" s="72"/>
      <c r="I187" s="72"/>
      <c r="J187" s="72"/>
      <c r="K187" s="72"/>
      <c r="L187" s="72" t="s">
        <v>599</v>
      </c>
      <c r="M187" s="72" t="s">
        <v>600</v>
      </c>
      <c r="N187" s="72" t="s">
        <v>491</v>
      </c>
      <c r="O187" s="72" t="s">
        <v>492</v>
      </c>
    </row>
    <row r="188" spans="1:15" x14ac:dyDescent="0.25">
      <c r="A188" s="74" t="s">
        <v>601</v>
      </c>
      <c r="B188" s="74">
        <v>1</v>
      </c>
      <c r="C188" s="74"/>
      <c r="D188" s="75">
        <v>0</v>
      </c>
      <c r="E188" s="75">
        <v>0</v>
      </c>
      <c r="F188" s="75">
        <v>0</v>
      </c>
      <c r="G188" s="72"/>
      <c r="H188" s="72"/>
      <c r="I188" s="72"/>
      <c r="J188" s="72" t="s">
        <v>601</v>
      </c>
      <c r="K188" s="72"/>
      <c r="L188" s="72"/>
      <c r="M188" s="72">
        <v>0</v>
      </c>
      <c r="N188" s="72">
        <v>0</v>
      </c>
      <c r="O188" s="72">
        <v>0</v>
      </c>
    </row>
    <row r="189" spans="1:15" x14ac:dyDescent="0.25">
      <c r="A189" s="74" t="s">
        <v>459</v>
      </c>
      <c r="B189" s="74">
        <v>2</v>
      </c>
      <c r="C189" s="74"/>
      <c r="D189" s="75">
        <v>0</v>
      </c>
      <c r="E189" s="75">
        <v>0</v>
      </c>
      <c r="F189" s="75">
        <v>0</v>
      </c>
      <c r="G189" s="72"/>
      <c r="H189" s="72"/>
      <c r="I189" s="72"/>
      <c r="J189" s="73" t="s">
        <v>459</v>
      </c>
      <c r="K189" s="72"/>
      <c r="L189" s="72"/>
      <c r="M189" s="72">
        <v>0</v>
      </c>
      <c r="N189" s="72">
        <v>0</v>
      </c>
      <c r="O189" s="72">
        <v>0</v>
      </c>
    </row>
    <row r="190" spans="1:15" x14ac:dyDescent="0.25">
      <c r="A190" s="74" t="s">
        <v>338</v>
      </c>
      <c r="B190" s="74">
        <v>3</v>
      </c>
      <c r="C190" s="74">
        <v>0.05</v>
      </c>
      <c r="D190" s="75">
        <f>0.8*M190</f>
        <v>6.24</v>
      </c>
      <c r="E190" s="75">
        <f>0.8*N190</f>
        <v>3.7439999999999998</v>
      </c>
      <c r="F190" s="75">
        <f>0.8*O190</f>
        <v>2.2464</v>
      </c>
      <c r="G190" s="72"/>
      <c r="H190" s="72"/>
      <c r="I190" s="72"/>
      <c r="J190" s="73" t="s">
        <v>338</v>
      </c>
      <c r="K190" s="72"/>
      <c r="L190" s="72">
        <v>0.05</v>
      </c>
      <c r="M190" s="72">
        <v>7.8</v>
      </c>
      <c r="N190" s="72">
        <v>4.68</v>
      </c>
      <c r="O190" s="72">
        <v>2.8079999999999998</v>
      </c>
    </row>
    <row r="191" spans="1:15" x14ac:dyDescent="0.25">
      <c r="A191" s="74" t="s">
        <v>311</v>
      </c>
      <c r="B191" s="74">
        <v>4</v>
      </c>
      <c r="C191" s="74">
        <v>0.1</v>
      </c>
      <c r="D191" s="75">
        <f t="shared" ref="D191:D203" si="3">0.8*M191</f>
        <v>12.48</v>
      </c>
      <c r="E191" s="75">
        <f t="shared" ref="E191:E203" si="4">0.8*N191</f>
        <v>7.4879999999999995</v>
      </c>
      <c r="F191" s="75">
        <f t="shared" ref="F191:F203" si="5">0.8*O191</f>
        <v>4.4927999999999999</v>
      </c>
      <c r="G191" s="72"/>
      <c r="H191" s="72"/>
      <c r="I191" s="72"/>
      <c r="J191" s="72" t="s">
        <v>311</v>
      </c>
      <c r="K191" s="72"/>
      <c r="L191" s="72">
        <v>0.1</v>
      </c>
      <c r="M191" s="72">
        <v>15.6</v>
      </c>
      <c r="N191" s="72">
        <v>9.36</v>
      </c>
      <c r="O191" s="72">
        <v>5.6159999999999997</v>
      </c>
    </row>
    <row r="192" spans="1:15" x14ac:dyDescent="0.25">
      <c r="A192" s="74" t="s">
        <v>602</v>
      </c>
      <c r="B192" s="74">
        <v>5</v>
      </c>
      <c r="C192" s="74">
        <v>0.4</v>
      </c>
      <c r="D192" s="75">
        <f t="shared" si="3"/>
        <v>49.92</v>
      </c>
      <c r="E192" s="75">
        <f t="shared" si="4"/>
        <v>29.951999999999998</v>
      </c>
      <c r="F192" s="75">
        <f t="shared" si="5"/>
        <v>17.9712</v>
      </c>
      <c r="G192" s="72"/>
      <c r="H192" s="72"/>
      <c r="I192" s="72"/>
      <c r="J192" s="72" t="s">
        <v>602</v>
      </c>
      <c r="K192" s="72">
        <v>1</v>
      </c>
      <c r="L192" s="72">
        <v>0.4</v>
      </c>
      <c r="M192" s="72">
        <v>62.4</v>
      </c>
      <c r="N192" s="72">
        <v>37.44</v>
      </c>
      <c r="O192" s="72">
        <v>22.463999999999999</v>
      </c>
    </row>
    <row r="193" spans="1:15" x14ac:dyDescent="0.25">
      <c r="A193" s="74" t="s">
        <v>139</v>
      </c>
      <c r="B193" s="74">
        <v>6</v>
      </c>
      <c r="C193" s="74"/>
      <c r="D193" s="75">
        <f t="shared" si="3"/>
        <v>124.80000000000001</v>
      </c>
      <c r="E193" s="75">
        <f t="shared" si="4"/>
        <v>74.88</v>
      </c>
      <c r="F193" s="75">
        <f t="shared" si="5"/>
        <v>44.927999999999997</v>
      </c>
      <c r="G193" s="72"/>
      <c r="H193" s="72"/>
      <c r="I193" s="72"/>
      <c r="J193" s="72" t="s">
        <v>139</v>
      </c>
      <c r="K193" s="72">
        <v>5</v>
      </c>
      <c r="L193" s="72"/>
      <c r="M193" s="72">
        <v>156</v>
      </c>
      <c r="N193" s="72">
        <v>93.6</v>
      </c>
      <c r="O193" s="72">
        <v>56.16</v>
      </c>
    </row>
    <row r="194" spans="1:15" x14ac:dyDescent="0.25">
      <c r="A194" s="74" t="s">
        <v>314</v>
      </c>
      <c r="B194" s="74">
        <v>7</v>
      </c>
      <c r="C194" s="74">
        <v>0.70710678100000002</v>
      </c>
      <c r="D194" s="75">
        <f t="shared" si="3"/>
        <v>88.24692632</v>
      </c>
      <c r="E194" s="75">
        <f t="shared" si="4"/>
        <v>52.948155776</v>
      </c>
      <c r="F194" s="75">
        <f t="shared" si="5"/>
        <v>31.768893464000001</v>
      </c>
      <c r="G194" s="72"/>
      <c r="H194" s="72" t="s">
        <v>1346</v>
      </c>
      <c r="I194" s="72"/>
      <c r="J194" s="72" t="s">
        <v>314</v>
      </c>
      <c r="K194" s="72">
        <v>10</v>
      </c>
      <c r="L194" s="72">
        <v>0.70710678100000002</v>
      </c>
      <c r="M194" s="72">
        <v>110.3086579</v>
      </c>
      <c r="N194" s="72">
        <v>66.185194719999998</v>
      </c>
      <c r="O194" s="72">
        <v>39.711116830000002</v>
      </c>
    </row>
    <row r="195" spans="1:15" x14ac:dyDescent="0.25">
      <c r="A195" s="74" t="s">
        <v>315</v>
      </c>
      <c r="B195" s="74">
        <v>8</v>
      </c>
      <c r="C195" s="74">
        <v>0.5</v>
      </c>
      <c r="D195" s="75">
        <f t="shared" si="3"/>
        <v>62.400000000000006</v>
      </c>
      <c r="E195" s="75">
        <f t="shared" si="4"/>
        <v>37.44</v>
      </c>
      <c r="F195" s="75">
        <f t="shared" si="5"/>
        <v>22.463999999999999</v>
      </c>
      <c r="G195" s="72"/>
      <c r="H195" s="72"/>
      <c r="I195" s="72"/>
      <c r="J195" s="72" t="s">
        <v>315</v>
      </c>
      <c r="K195" s="72">
        <v>15</v>
      </c>
      <c r="L195" s="72">
        <v>0.5</v>
      </c>
      <c r="M195" s="72">
        <v>78</v>
      </c>
      <c r="N195" s="72">
        <v>46.8</v>
      </c>
      <c r="O195" s="72">
        <v>28.08</v>
      </c>
    </row>
    <row r="196" spans="1:15" x14ac:dyDescent="0.25">
      <c r="A196" s="74" t="s">
        <v>316</v>
      </c>
      <c r="B196" s="74">
        <v>9</v>
      </c>
      <c r="C196" s="74">
        <v>0.35355339099999999</v>
      </c>
      <c r="D196" s="75">
        <f t="shared" si="3"/>
        <v>44.123463143999999</v>
      </c>
      <c r="E196" s="75">
        <f t="shared" si="4"/>
        <v>26.474077888</v>
      </c>
      <c r="F196" s="75">
        <f t="shared" si="5"/>
        <v>15.884446736000001</v>
      </c>
      <c r="G196" s="72"/>
      <c r="H196" s="72"/>
      <c r="I196" s="72"/>
      <c r="J196" s="72" t="s">
        <v>316</v>
      </c>
      <c r="K196" s="72">
        <v>20</v>
      </c>
      <c r="L196" s="72">
        <v>0.35355339099999999</v>
      </c>
      <c r="M196" s="72">
        <v>55.154328929999998</v>
      </c>
      <c r="N196" s="72">
        <v>33.092597359999999</v>
      </c>
      <c r="O196" s="72">
        <v>19.855558420000001</v>
      </c>
    </row>
    <row r="197" spans="1:15" x14ac:dyDescent="0.25">
      <c r="A197" s="74" t="s">
        <v>317</v>
      </c>
      <c r="B197" s="74">
        <v>10</v>
      </c>
      <c r="C197" s="74">
        <v>0.25</v>
      </c>
      <c r="D197" s="75">
        <f t="shared" si="3"/>
        <v>31.200000000000003</v>
      </c>
      <c r="E197" s="75">
        <f t="shared" si="4"/>
        <v>18.72</v>
      </c>
      <c r="F197" s="75">
        <f t="shared" si="5"/>
        <v>11.231999999999999</v>
      </c>
      <c r="G197" s="72"/>
      <c r="H197" s="72"/>
      <c r="I197" s="72"/>
      <c r="J197" s="72" t="s">
        <v>317</v>
      </c>
      <c r="K197" s="72">
        <v>25</v>
      </c>
      <c r="L197" s="72">
        <v>0.25</v>
      </c>
      <c r="M197" s="72">
        <v>39</v>
      </c>
      <c r="N197" s="72">
        <v>23.4</v>
      </c>
      <c r="O197" s="72">
        <v>14.04</v>
      </c>
    </row>
    <row r="198" spans="1:15" x14ac:dyDescent="0.25">
      <c r="A198" s="74" t="s">
        <v>603</v>
      </c>
      <c r="B198" s="74">
        <v>11</v>
      </c>
      <c r="C198" s="74">
        <v>0.17677669500000001</v>
      </c>
      <c r="D198" s="75">
        <f t="shared" si="3"/>
        <v>22.061731576</v>
      </c>
      <c r="E198" s="75">
        <f t="shared" si="4"/>
        <v>13.237038944</v>
      </c>
      <c r="F198" s="75">
        <f t="shared" si="5"/>
        <v>7.9422233664000004</v>
      </c>
      <c r="G198" s="72"/>
      <c r="H198" s="72"/>
      <c r="I198" s="72"/>
      <c r="J198" s="72" t="s">
        <v>603</v>
      </c>
      <c r="K198" s="72">
        <v>30</v>
      </c>
      <c r="L198" s="72">
        <v>0.17677669500000001</v>
      </c>
      <c r="M198" s="72">
        <v>27.57716447</v>
      </c>
      <c r="N198" s="72">
        <v>16.54629868</v>
      </c>
      <c r="O198" s="72">
        <v>9.9277792080000005</v>
      </c>
    </row>
    <row r="199" spans="1:15" x14ac:dyDescent="0.25">
      <c r="A199" s="74" t="s">
        <v>319</v>
      </c>
      <c r="B199" s="74">
        <v>12</v>
      </c>
      <c r="C199" s="74">
        <v>0.125</v>
      </c>
      <c r="D199" s="75">
        <f t="shared" si="3"/>
        <v>15.600000000000001</v>
      </c>
      <c r="E199" s="75">
        <f t="shared" si="4"/>
        <v>9.36</v>
      </c>
      <c r="F199" s="75">
        <f t="shared" si="5"/>
        <v>5.6159999999999997</v>
      </c>
      <c r="G199" s="72"/>
      <c r="H199" s="72"/>
      <c r="I199" s="72"/>
      <c r="J199" s="72" t="s">
        <v>319</v>
      </c>
      <c r="K199" s="72">
        <v>35</v>
      </c>
      <c r="L199" s="72">
        <v>0.125</v>
      </c>
      <c r="M199" s="72">
        <v>19.5</v>
      </c>
      <c r="N199" s="72">
        <v>11.7</v>
      </c>
      <c r="O199" s="72">
        <v>7.02</v>
      </c>
    </row>
    <row r="200" spans="1:15" x14ac:dyDescent="0.25">
      <c r="A200" s="74" t="s">
        <v>324</v>
      </c>
      <c r="B200" s="74">
        <v>13</v>
      </c>
      <c r="C200" s="74">
        <v>8.8388348000000005E-2</v>
      </c>
      <c r="D200" s="75">
        <f t="shared" si="3"/>
        <v>11.030865784</v>
      </c>
      <c r="E200" s="75">
        <f t="shared" si="4"/>
        <v>6.618519472</v>
      </c>
      <c r="F200" s="75">
        <f t="shared" si="5"/>
        <v>3.9711116832000002</v>
      </c>
      <c r="G200" s="72"/>
      <c r="H200" s="72"/>
      <c r="I200" s="72"/>
      <c r="J200" s="72" t="s">
        <v>324</v>
      </c>
      <c r="K200" s="72">
        <v>40</v>
      </c>
      <c r="L200" s="72">
        <v>8.8388348000000005E-2</v>
      </c>
      <c r="M200" s="72">
        <v>13.788582229999999</v>
      </c>
      <c r="N200" s="72">
        <v>8.2731493399999998</v>
      </c>
      <c r="O200" s="72">
        <v>4.9638896040000002</v>
      </c>
    </row>
    <row r="201" spans="1:15" x14ac:dyDescent="0.25">
      <c r="A201" s="74" t="s">
        <v>462</v>
      </c>
      <c r="B201" s="74">
        <v>14</v>
      </c>
      <c r="C201" s="74">
        <v>6.25E-2</v>
      </c>
      <c r="D201" s="75">
        <f t="shared" si="3"/>
        <v>7.8000000000000007</v>
      </c>
      <c r="E201" s="75">
        <f t="shared" si="4"/>
        <v>4.68</v>
      </c>
      <c r="F201" s="75">
        <f t="shared" si="5"/>
        <v>2.8079999999999998</v>
      </c>
      <c r="G201" s="72"/>
      <c r="H201" s="72"/>
      <c r="I201" s="72"/>
      <c r="J201" s="72" t="s">
        <v>462</v>
      </c>
      <c r="K201" s="72">
        <v>45</v>
      </c>
      <c r="L201" s="72">
        <v>6.25E-2</v>
      </c>
      <c r="M201" s="72">
        <v>9.75</v>
      </c>
      <c r="N201" s="72">
        <v>5.85</v>
      </c>
      <c r="O201" s="72">
        <v>3.51</v>
      </c>
    </row>
    <row r="202" spans="1:15" x14ac:dyDescent="0.25">
      <c r="A202" s="74" t="s">
        <v>463</v>
      </c>
      <c r="B202" s="74">
        <v>15</v>
      </c>
      <c r="C202" s="74">
        <v>4.4194174000000003E-2</v>
      </c>
      <c r="D202" s="75">
        <f t="shared" si="3"/>
        <v>5.5154328935999999</v>
      </c>
      <c r="E202" s="75">
        <f t="shared" si="4"/>
        <v>3.309259736</v>
      </c>
      <c r="F202" s="75">
        <f t="shared" si="5"/>
        <v>1.9855558416000001</v>
      </c>
      <c r="G202" s="72"/>
      <c r="H202" s="72"/>
      <c r="I202" s="72"/>
      <c r="J202" s="72" t="s">
        <v>463</v>
      </c>
      <c r="K202" s="72">
        <v>50</v>
      </c>
      <c r="L202" s="72">
        <v>4.4194174000000003E-2</v>
      </c>
      <c r="M202" s="72">
        <v>6.8942911169999999</v>
      </c>
      <c r="N202" s="72">
        <v>4.1365746699999999</v>
      </c>
      <c r="O202" s="72">
        <v>2.4819448020000001</v>
      </c>
    </row>
    <row r="203" spans="1:15" x14ac:dyDescent="0.25">
      <c r="A203" s="74" t="s">
        <v>464</v>
      </c>
      <c r="B203" s="74">
        <v>16</v>
      </c>
      <c r="C203" s="74">
        <v>3.125E-2</v>
      </c>
      <c r="D203" s="75">
        <f t="shared" si="3"/>
        <v>3.9000000000000004</v>
      </c>
      <c r="E203" s="75">
        <f t="shared" si="4"/>
        <v>2.34</v>
      </c>
      <c r="F203" s="75">
        <f t="shared" si="5"/>
        <v>1.4039999999999999</v>
      </c>
      <c r="G203" s="72"/>
      <c r="H203" s="72"/>
      <c r="I203" s="72"/>
      <c r="J203" s="72" t="s">
        <v>464</v>
      </c>
      <c r="K203" s="72">
        <v>55</v>
      </c>
      <c r="L203" s="72">
        <v>3.125E-2</v>
      </c>
      <c r="M203" s="72">
        <v>4.875</v>
      </c>
      <c r="N203" s="72">
        <v>2.9249999999999998</v>
      </c>
      <c r="O203" s="72">
        <v>1.7549999999999999</v>
      </c>
    </row>
    <row r="204" spans="1:15" x14ac:dyDescent="0.25">
      <c r="A204" s="36"/>
      <c r="B204" s="36"/>
      <c r="C204" s="36"/>
      <c r="D204" s="36"/>
      <c r="E204" s="36"/>
      <c r="F204" s="36"/>
      <c r="J204" s="37"/>
      <c r="K204" s="37"/>
      <c r="L204" s="37"/>
      <c r="M204" s="37"/>
      <c r="N204" s="37"/>
      <c r="O204" s="37"/>
    </row>
    <row r="205" spans="1:15" x14ac:dyDescent="0.25">
      <c r="A205" s="36"/>
      <c r="B205" s="36"/>
      <c r="C205" s="36"/>
      <c r="D205" s="36"/>
      <c r="E205" s="36"/>
      <c r="F205" s="36"/>
      <c r="J205" s="37" t="s">
        <v>611</v>
      </c>
      <c r="K205" s="37"/>
      <c r="L205" s="37"/>
      <c r="M205" s="37"/>
      <c r="N205" s="37"/>
      <c r="O205" s="37"/>
    </row>
    <row r="206" spans="1:15" x14ac:dyDescent="0.25">
      <c r="A206" s="36"/>
      <c r="B206" s="36"/>
      <c r="C206" s="36"/>
      <c r="D206" s="36"/>
      <c r="E206" s="36"/>
      <c r="F206" s="36"/>
      <c r="J206" s="37" t="s">
        <v>606</v>
      </c>
      <c r="K206" s="37" t="s">
        <v>607</v>
      </c>
      <c r="L206" s="37" t="s">
        <v>608</v>
      </c>
      <c r="M206" s="37" t="s">
        <v>609</v>
      </c>
      <c r="N206" s="37"/>
      <c r="O206" s="37"/>
    </row>
    <row r="207" spans="1:15" x14ac:dyDescent="0.25">
      <c r="A207" s="36"/>
      <c r="B207" s="36"/>
      <c r="C207" s="36"/>
      <c r="D207" s="36"/>
      <c r="E207" s="36"/>
      <c r="F207" s="36"/>
      <c r="J207" s="37" t="s">
        <v>223</v>
      </c>
      <c r="K207" s="37">
        <v>156</v>
      </c>
      <c r="L207" s="37">
        <v>93.6</v>
      </c>
      <c r="M207" s="37">
        <v>56.16</v>
      </c>
      <c r="N207" s="37"/>
      <c r="O207" s="37"/>
    </row>
    <row r="208" spans="1:15" x14ac:dyDescent="0.25">
      <c r="A208" s="36"/>
      <c r="B208" s="36"/>
      <c r="C208" s="36"/>
      <c r="D208" s="36"/>
      <c r="E208" s="36"/>
      <c r="F208" s="36"/>
      <c r="J208" s="37" t="s">
        <v>222</v>
      </c>
      <c r="K208" s="37">
        <v>156</v>
      </c>
      <c r="L208" s="37">
        <v>93.6</v>
      </c>
      <c r="M208" s="37">
        <v>56.16</v>
      </c>
      <c r="N208" s="37"/>
      <c r="O208" s="37"/>
    </row>
    <row r="209" spans="1:15" s="37" customFormat="1" x14ac:dyDescent="0.25"/>
    <row r="210" spans="1:15" s="37" customFormat="1" x14ac:dyDescent="0.25"/>
    <row r="211" spans="1:15" s="37" customFormat="1" x14ac:dyDescent="0.25">
      <c r="A211" s="42" t="s">
        <v>639</v>
      </c>
    </row>
    <row r="212" spans="1:15" x14ac:dyDescent="0.25">
      <c r="A212" s="36"/>
      <c r="B212" s="36"/>
      <c r="C212" s="36"/>
      <c r="D212" s="36"/>
      <c r="E212" s="36"/>
      <c r="F212" s="36"/>
      <c r="J212" s="37"/>
      <c r="K212" s="37"/>
      <c r="L212" s="37"/>
      <c r="M212" s="37"/>
      <c r="N212" s="37"/>
      <c r="O212" s="37"/>
    </row>
    <row r="213" spans="1:15" x14ac:dyDescent="0.25">
      <c r="A213" s="2" t="s">
        <v>620</v>
      </c>
    </row>
    <row r="214" spans="1:15" x14ac:dyDescent="0.25">
      <c r="B214" t="s">
        <v>624</v>
      </c>
    </row>
    <row r="215" spans="1:15" x14ac:dyDescent="0.25">
      <c r="B215" t="s">
        <v>621</v>
      </c>
    </row>
    <row r="216" spans="1:15" x14ac:dyDescent="0.25">
      <c r="B216" t="s">
        <v>622</v>
      </c>
    </row>
    <row r="217" spans="1:15" x14ac:dyDescent="0.25">
      <c r="B217" t="s">
        <v>623</v>
      </c>
    </row>
    <row r="219" spans="1:15" x14ac:dyDescent="0.25">
      <c r="A219" s="2" t="s">
        <v>625</v>
      </c>
    </row>
    <row r="220" spans="1:15" x14ac:dyDescent="0.25">
      <c r="A220" t="s">
        <v>472</v>
      </c>
      <c r="B220" t="s">
        <v>626</v>
      </c>
    </row>
    <row r="221" spans="1:15" x14ac:dyDescent="0.25">
      <c r="B221" t="s">
        <v>627</v>
      </c>
    </row>
    <row r="222" spans="1:15" x14ac:dyDescent="0.25">
      <c r="B222" t="s">
        <v>628</v>
      </c>
    </row>
    <row r="223" spans="1:15" x14ac:dyDescent="0.25">
      <c r="B223" t="s">
        <v>629</v>
      </c>
    </row>
    <row r="237" spans="1:2" x14ac:dyDescent="0.25">
      <c r="A237" s="2" t="s">
        <v>640</v>
      </c>
    </row>
    <row r="238" spans="1:2" x14ac:dyDescent="0.25">
      <c r="B238" t="s">
        <v>641</v>
      </c>
    </row>
    <row r="253" spans="1:2" x14ac:dyDescent="0.25">
      <c r="A253" s="2" t="s">
        <v>1217</v>
      </c>
    </row>
    <row r="254" spans="1:2" x14ac:dyDescent="0.25">
      <c r="B254" t="s">
        <v>1216</v>
      </c>
    </row>
    <row r="256" spans="1:2" x14ac:dyDescent="0.25">
      <c r="A256" t="s">
        <v>1138</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8"/>
  <sheetViews>
    <sheetView topLeftCell="A22" workbookViewId="0">
      <selection activeCell="O10" sqref="O10"/>
    </sheetView>
  </sheetViews>
  <sheetFormatPr defaultRowHeight="15" x14ac:dyDescent="0.25"/>
  <cols>
    <col min="2" max="2" width="17.5703125" customWidth="1"/>
    <col min="10" max="10" width="14.140625" customWidth="1"/>
  </cols>
  <sheetData>
    <row r="1" spans="1:19" x14ac:dyDescent="0.25">
      <c r="A1" s="2" t="s">
        <v>390</v>
      </c>
    </row>
    <row r="2" spans="1:19" x14ac:dyDescent="0.25">
      <c r="B2" t="s">
        <v>231</v>
      </c>
      <c r="E2" t="s">
        <v>158</v>
      </c>
      <c r="J2" s="37" t="s">
        <v>1293</v>
      </c>
      <c r="O2" t="s">
        <v>1295</v>
      </c>
    </row>
    <row r="3" spans="1:19" x14ac:dyDescent="0.25">
      <c r="B3" t="s">
        <v>80</v>
      </c>
      <c r="C3" t="s">
        <v>232</v>
      </c>
      <c r="E3" t="s">
        <v>80</v>
      </c>
      <c r="F3" t="s">
        <v>1253</v>
      </c>
      <c r="G3" t="s">
        <v>575</v>
      </c>
      <c r="H3" t="s">
        <v>576</v>
      </c>
      <c r="J3" s="37" t="s">
        <v>80</v>
      </c>
      <c r="K3" t="s">
        <v>232</v>
      </c>
      <c r="L3" t="s">
        <v>575</v>
      </c>
      <c r="M3" t="s">
        <v>576</v>
      </c>
    </row>
    <row r="4" spans="1:19" x14ac:dyDescent="0.25">
      <c r="B4" t="s">
        <v>137</v>
      </c>
      <c r="C4">
        <v>71.5</v>
      </c>
      <c r="E4" s="37" t="s">
        <v>137</v>
      </c>
      <c r="F4" s="7">
        <v>39.475000000000001</v>
      </c>
      <c r="G4" s="7">
        <v>26.379000000000001</v>
      </c>
      <c r="H4" s="7">
        <v>52.570900000000002</v>
      </c>
      <c r="J4" s="37" t="s">
        <v>137</v>
      </c>
      <c r="K4" s="7">
        <v>39.475000000000001</v>
      </c>
      <c r="L4" s="7">
        <v>26.379000000000001</v>
      </c>
      <c r="M4" s="7">
        <v>52.570900000000002</v>
      </c>
      <c r="N4" s="7"/>
      <c r="O4" s="7">
        <f>K4-9.5</f>
        <v>29.975000000000001</v>
      </c>
      <c r="P4" s="7"/>
      <c r="Q4" s="7"/>
      <c r="R4" s="7"/>
      <c r="S4" s="37"/>
    </row>
    <row r="5" spans="1:19" x14ac:dyDescent="0.25">
      <c r="B5" t="s">
        <v>138</v>
      </c>
      <c r="C5">
        <v>89</v>
      </c>
      <c r="E5" s="37" t="s">
        <v>138</v>
      </c>
      <c r="F5" s="7">
        <v>59.9711</v>
      </c>
      <c r="G5" s="7">
        <v>44.379399999999997</v>
      </c>
      <c r="H5" s="7">
        <v>75.562799999999996</v>
      </c>
      <c r="J5" s="37" t="s">
        <v>138</v>
      </c>
      <c r="K5" s="7">
        <v>59.9711</v>
      </c>
      <c r="L5" s="7">
        <v>44.379399999999997</v>
      </c>
      <c r="M5" s="7">
        <v>75.562799999999996</v>
      </c>
      <c r="N5" s="37"/>
      <c r="O5" s="7">
        <f>K5-9.5</f>
        <v>50.4711</v>
      </c>
      <c r="P5" s="37"/>
      <c r="Q5" s="37"/>
      <c r="R5" s="37"/>
    </row>
    <row r="6" spans="1:19" x14ac:dyDescent="0.25">
      <c r="B6" t="s">
        <v>139</v>
      </c>
      <c r="C6">
        <v>88.3</v>
      </c>
      <c r="E6" s="37" t="s">
        <v>139</v>
      </c>
      <c r="F6" s="7">
        <v>55.5411</v>
      </c>
      <c r="G6" s="7">
        <v>35.654000000000003</v>
      </c>
      <c r="H6" s="7">
        <v>75.428100000000001</v>
      </c>
      <c r="J6" s="37" t="s">
        <v>139</v>
      </c>
      <c r="K6" s="7">
        <v>55.5411</v>
      </c>
      <c r="L6" s="7">
        <v>35.654000000000003</v>
      </c>
      <c r="M6" s="7">
        <v>75.428100000000001</v>
      </c>
      <c r="O6" s="7">
        <f>K6-20</f>
        <v>35.5411</v>
      </c>
    </row>
    <row r="7" spans="1:19" x14ac:dyDescent="0.25">
      <c r="B7" t="s">
        <v>156</v>
      </c>
      <c r="C7">
        <v>89.3</v>
      </c>
      <c r="E7" s="37" t="s">
        <v>140</v>
      </c>
      <c r="F7" s="7">
        <v>48.6997</v>
      </c>
      <c r="G7" s="7">
        <v>25.883700000000001</v>
      </c>
      <c r="H7" s="7">
        <v>71.515799999999999</v>
      </c>
      <c r="J7" s="37" t="s">
        <v>156</v>
      </c>
      <c r="K7" s="7">
        <v>51.552999999999997</v>
      </c>
      <c r="L7" s="7">
        <v>35.945500000000003</v>
      </c>
      <c r="M7" s="7">
        <v>67.160600000000002</v>
      </c>
      <c r="O7" s="7">
        <f>K7-20</f>
        <v>31.552999999999997</v>
      </c>
    </row>
    <row r="8" spans="1:19" x14ac:dyDescent="0.25">
      <c r="B8" t="s">
        <v>157</v>
      </c>
      <c r="C8">
        <v>83.7</v>
      </c>
      <c r="E8" s="37" t="s">
        <v>141</v>
      </c>
      <c r="F8" s="7">
        <v>53.265300000000003</v>
      </c>
      <c r="G8" s="7">
        <v>34.495600000000003</v>
      </c>
      <c r="H8" s="7">
        <v>72.034899999999993</v>
      </c>
      <c r="J8" s="37" t="s">
        <v>157</v>
      </c>
      <c r="K8" s="7">
        <v>42.454099999999997</v>
      </c>
      <c r="L8" s="7">
        <v>27.832100000000001</v>
      </c>
      <c r="M8" s="7">
        <v>57.076099999999997</v>
      </c>
      <c r="O8" s="7">
        <f>K8-20</f>
        <v>22.454099999999997</v>
      </c>
    </row>
    <row r="9" spans="1:19" x14ac:dyDescent="0.25">
      <c r="B9" t="s">
        <v>144</v>
      </c>
      <c r="C9">
        <v>83.7</v>
      </c>
      <c r="E9" s="37" t="s">
        <v>142</v>
      </c>
      <c r="F9" s="7">
        <v>42.709699999999998</v>
      </c>
      <c r="G9" s="7">
        <v>26.007300000000001</v>
      </c>
      <c r="H9" s="7">
        <v>59.412199999999999</v>
      </c>
      <c r="J9" s="37" t="s">
        <v>1294</v>
      </c>
      <c r="K9" s="7">
        <v>39.2258</v>
      </c>
      <c r="L9" s="7">
        <v>20.566700000000001</v>
      </c>
      <c r="M9" s="7">
        <v>57.884900000000002</v>
      </c>
      <c r="N9" s="7"/>
      <c r="O9" s="7">
        <f>K9-20</f>
        <v>19.2258</v>
      </c>
      <c r="Q9" s="37"/>
    </row>
    <row r="10" spans="1:19" x14ac:dyDescent="0.25">
      <c r="B10" t="s">
        <v>158</v>
      </c>
      <c r="C10">
        <v>46.4</v>
      </c>
      <c r="E10" s="37" t="s">
        <v>143</v>
      </c>
      <c r="F10" s="7">
        <v>42.107599999999998</v>
      </c>
      <c r="G10" s="7">
        <v>21.632400000000001</v>
      </c>
      <c r="H10" s="7">
        <v>62.582799999999999</v>
      </c>
    </row>
    <row r="11" spans="1:19" s="37" customFormat="1" x14ac:dyDescent="0.25">
      <c r="E11" s="37" t="s">
        <v>392</v>
      </c>
      <c r="F11" s="37">
        <v>39.2258</v>
      </c>
      <c r="G11" s="7">
        <v>20.566700000000001</v>
      </c>
      <c r="H11" s="7">
        <v>57.884900000000002</v>
      </c>
    </row>
    <row r="12" spans="1:19" s="37" customFormat="1" x14ac:dyDescent="0.25"/>
    <row r="13" spans="1:19" s="37" customFormat="1" x14ac:dyDescent="0.25">
      <c r="A13" s="2" t="s">
        <v>1254</v>
      </c>
    </row>
    <row r="14" spans="1:19" s="37" customFormat="1" x14ac:dyDescent="0.25">
      <c r="B14" s="37" t="s">
        <v>1252</v>
      </c>
      <c r="G14" s="37" t="s">
        <v>1293</v>
      </c>
    </row>
    <row r="15" spans="1:19" s="37" customFormat="1" x14ac:dyDescent="0.25">
      <c r="B15" s="37" t="s">
        <v>80</v>
      </c>
      <c r="C15" s="37" t="s">
        <v>232</v>
      </c>
      <c r="D15" s="37" t="s">
        <v>575</v>
      </c>
      <c r="E15" s="37" t="s">
        <v>576</v>
      </c>
      <c r="G15" s="37" t="s">
        <v>80</v>
      </c>
      <c r="H15" s="37" t="s">
        <v>232</v>
      </c>
      <c r="I15" s="37" t="s">
        <v>575</v>
      </c>
      <c r="J15" s="37" t="s">
        <v>576</v>
      </c>
      <c r="L15" s="37" t="s">
        <v>1295</v>
      </c>
    </row>
    <row r="16" spans="1:19" s="37" customFormat="1" x14ac:dyDescent="0.25">
      <c r="B16" s="37" t="s">
        <v>137</v>
      </c>
      <c r="C16" s="37">
        <v>37</v>
      </c>
      <c r="D16" s="37">
        <v>22.2</v>
      </c>
      <c r="E16" s="37">
        <v>54.8</v>
      </c>
      <c r="G16" s="37" t="s">
        <v>137</v>
      </c>
      <c r="H16" s="7">
        <v>37.1738</v>
      </c>
      <c r="I16" s="7">
        <v>20.588000000000001</v>
      </c>
      <c r="J16" s="7">
        <v>53.759500000000003</v>
      </c>
      <c r="L16" s="7">
        <v>37.1738</v>
      </c>
    </row>
    <row r="17" spans="1:12" s="37" customFormat="1" x14ac:dyDescent="0.25">
      <c r="B17" s="37" t="s">
        <v>138</v>
      </c>
      <c r="C17" s="37">
        <v>46.5</v>
      </c>
      <c r="D17" s="37">
        <v>32.299999999999997</v>
      </c>
      <c r="E17" s="37">
        <v>61.3</v>
      </c>
      <c r="G17" s="37" t="s">
        <v>138</v>
      </c>
      <c r="H17" s="7">
        <v>46.828499999999998</v>
      </c>
      <c r="I17" s="7">
        <v>32.288699999999999</v>
      </c>
      <c r="J17" s="7">
        <v>61.368200000000002</v>
      </c>
      <c r="L17" s="7">
        <v>46.828499999999998</v>
      </c>
    </row>
    <row r="18" spans="1:12" s="37" customFormat="1" x14ac:dyDescent="0.25">
      <c r="B18" s="37" t="s">
        <v>139</v>
      </c>
      <c r="C18" s="37">
        <v>39</v>
      </c>
      <c r="D18" s="37">
        <v>25.8</v>
      </c>
      <c r="E18" s="37">
        <v>54</v>
      </c>
      <c r="G18" s="37" t="s">
        <v>139</v>
      </c>
      <c r="H18" s="7">
        <v>39.555999999999997</v>
      </c>
      <c r="I18" s="7">
        <v>25.258800000000001</v>
      </c>
      <c r="J18" s="7">
        <v>53.853200000000001</v>
      </c>
      <c r="L18" s="7">
        <v>39.555999999999997</v>
      </c>
    </row>
    <row r="19" spans="1:12" s="37" customFormat="1" x14ac:dyDescent="0.25">
      <c r="B19" s="37" t="s">
        <v>140</v>
      </c>
      <c r="C19" s="37">
        <v>55.4</v>
      </c>
      <c r="D19" s="37">
        <v>32.6</v>
      </c>
      <c r="E19" s="37">
        <v>76.2</v>
      </c>
      <c r="G19" s="37" t="s">
        <v>156</v>
      </c>
      <c r="H19" s="7">
        <v>55.9163</v>
      </c>
      <c r="I19" s="7">
        <v>37.942700000000002</v>
      </c>
      <c r="J19" s="7">
        <v>73.889899999999997</v>
      </c>
      <c r="L19" s="7">
        <f>H19-20</f>
        <v>35.9163</v>
      </c>
    </row>
    <row r="20" spans="1:12" s="37" customFormat="1" x14ac:dyDescent="0.25">
      <c r="B20" s="37" t="s">
        <v>141</v>
      </c>
      <c r="C20" s="37">
        <v>55.9</v>
      </c>
      <c r="D20" s="37">
        <v>37.6</v>
      </c>
      <c r="E20" s="37">
        <v>72.7</v>
      </c>
      <c r="G20" s="37" t="s">
        <v>157</v>
      </c>
      <c r="H20" s="7">
        <v>60.321199999999997</v>
      </c>
      <c r="I20" s="7">
        <v>40.520200000000003</v>
      </c>
      <c r="J20" s="7">
        <v>80.122200000000007</v>
      </c>
      <c r="L20" s="7">
        <f>H20-20</f>
        <v>40.321199999999997</v>
      </c>
    </row>
    <row r="21" spans="1:12" s="37" customFormat="1" x14ac:dyDescent="0.25">
      <c r="B21" s="37" t="s">
        <v>142</v>
      </c>
      <c r="C21" s="37">
        <v>58</v>
      </c>
      <c r="D21" s="37">
        <v>32.200000000000003</v>
      </c>
      <c r="E21" s="37">
        <v>80.099999999999994</v>
      </c>
      <c r="G21" s="37" t="s">
        <v>1294</v>
      </c>
      <c r="H21" s="7">
        <v>39.386299999999999</v>
      </c>
      <c r="I21" s="7">
        <v>20.154800000000002</v>
      </c>
      <c r="J21" s="7">
        <v>58.617699999999999</v>
      </c>
      <c r="L21" s="7">
        <f>H21-20</f>
        <v>19.386299999999999</v>
      </c>
    </row>
    <row r="22" spans="1:12" s="37" customFormat="1" x14ac:dyDescent="0.25">
      <c r="B22" s="37" t="s">
        <v>143</v>
      </c>
      <c r="C22" s="37">
        <v>60.1</v>
      </c>
      <c r="D22" s="37">
        <v>35.5</v>
      </c>
      <c r="E22" s="37">
        <v>80.5</v>
      </c>
    </row>
    <row r="23" spans="1:12" s="37" customFormat="1" x14ac:dyDescent="0.25"/>
    <row r="25" spans="1:12" x14ac:dyDescent="0.25">
      <c r="A25" s="2" t="s">
        <v>1256</v>
      </c>
    </row>
    <row r="26" spans="1:12" x14ac:dyDescent="0.25">
      <c r="B26" t="s">
        <v>417</v>
      </c>
      <c r="F26" t="s">
        <v>179</v>
      </c>
      <c r="G26">
        <v>2007</v>
      </c>
      <c r="J26">
        <v>2012</v>
      </c>
    </row>
    <row r="27" spans="1:12" x14ac:dyDescent="0.25">
      <c r="C27">
        <v>2007</v>
      </c>
      <c r="D27">
        <v>2012</v>
      </c>
      <c r="F27" t="s">
        <v>246</v>
      </c>
      <c r="G27" t="s">
        <v>1253</v>
      </c>
      <c r="H27" t="s">
        <v>575</v>
      </c>
      <c r="I27" t="s">
        <v>576</v>
      </c>
      <c r="J27" t="s">
        <v>232</v>
      </c>
      <c r="K27" t="s">
        <v>575</v>
      </c>
      <c r="L27" t="s">
        <v>576</v>
      </c>
    </row>
    <row r="28" spans="1:12" x14ac:dyDescent="0.25">
      <c r="B28" s="81" t="s">
        <v>158</v>
      </c>
      <c r="C28" s="81">
        <v>48.2</v>
      </c>
      <c r="D28" s="81">
        <v>66.3</v>
      </c>
      <c r="F28" t="s">
        <v>155</v>
      </c>
      <c r="G28" t="s">
        <v>1261</v>
      </c>
      <c r="H28" t="s">
        <v>1266</v>
      </c>
      <c r="I28" t="s">
        <v>1270</v>
      </c>
      <c r="J28" t="s">
        <v>1275</v>
      </c>
      <c r="K28" t="s">
        <v>1280</v>
      </c>
      <c r="L28" t="s">
        <v>1285</v>
      </c>
    </row>
    <row r="29" spans="1:12" x14ac:dyDescent="0.25">
      <c r="B29" t="s">
        <v>28</v>
      </c>
      <c r="C29">
        <v>85</v>
      </c>
      <c r="D29">
        <v>91.2</v>
      </c>
      <c r="F29" s="37" t="s">
        <v>1257</v>
      </c>
      <c r="G29" s="37" t="s">
        <v>1262</v>
      </c>
      <c r="H29" s="37" t="s">
        <v>1267</v>
      </c>
      <c r="I29" s="37" t="s">
        <v>1271</v>
      </c>
      <c r="J29" s="37" t="s">
        <v>1276</v>
      </c>
      <c r="K29" s="37" t="s">
        <v>1281</v>
      </c>
      <c r="L29" s="37" t="s">
        <v>1286</v>
      </c>
    </row>
    <row r="30" spans="1:12" x14ac:dyDescent="0.25">
      <c r="F30" s="37" t="s">
        <v>1258</v>
      </c>
      <c r="G30" s="37" t="s">
        <v>1263</v>
      </c>
      <c r="H30" s="37" t="s">
        <v>1266</v>
      </c>
      <c r="I30" s="37" t="s">
        <v>1272</v>
      </c>
      <c r="J30" s="37" t="s">
        <v>1277</v>
      </c>
      <c r="K30" s="37" t="s">
        <v>1282</v>
      </c>
      <c r="L30" s="37" t="s">
        <v>1287</v>
      </c>
    </row>
    <row r="31" spans="1:12" x14ac:dyDescent="0.25">
      <c r="B31" t="s">
        <v>418</v>
      </c>
      <c r="F31" s="37" t="s">
        <v>1259</v>
      </c>
      <c r="G31" s="37" t="s">
        <v>1264</v>
      </c>
      <c r="H31" s="37" t="s">
        <v>1268</v>
      </c>
      <c r="I31" s="37" t="s">
        <v>1273</v>
      </c>
      <c r="J31" s="37" t="s">
        <v>1278</v>
      </c>
      <c r="K31" s="37" t="s">
        <v>1283</v>
      </c>
      <c r="L31" s="37" t="s">
        <v>1288</v>
      </c>
    </row>
    <row r="32" spans="1:12" x14ac:dyDescent="0.25">
      <c r="C32">
        <v>2007</v>
      </c>
      <c r="D32">
        <v>2012</v>
      </c>
      <c r="F32" s="37" t="s">
        <v>1260</v>
      </c>
      <c r="G32" s="37" t="s">
        <v>1265</v>
      </c>
      <c r="H32" s="37" t="s">
        <v>1269</v>
      </c>
      <c r="I32" s="37" t="s">
        <v>1274</v>
      </c>
      <c r="J32" s="37" t="s">
        <v>1279</v>
      </c>
      <c r="K32" s="37" t="s">
        <v>1284</v>
      </c>
      <c r="L32" s="37" t="s">
        <v>1289</v>
      </c>
    </row>
    <row r="33" spans="1:15" x14ac:dyDescent="0.25">
      <c r="B33" t="s">
        <v>419</v>
      </c>
      <c r="C33">
        <v>4.0999999999999996</v>
      </c>
      <c r="D33">
        <v>3.1</v>
      </c>
    </row>
    <row r="34" spans="1:15" x14ac:dyDescent="0.25">
      <c r="B34" t="s">
        <v>420</v>
      </c>
      <c r="C34">
        <v>14.8</v>
      </c>
      <c r="D34">
        <v>16.899999999999999</v>
      </c>
    </row>
    <row r="35" spans="1:15" x14ac:dyDescent="0.25">
      <c r="B35" t="s">
        <v>144</v>
      </c>
      <c r="C35">
        <v>5.9</v>
      </c>
      <c r="D35">
        <v>4.4000000000000004</v>
      </c>
    </row>
    <row r="37" spans="1:15" x14ac:dyDescent="0.25">
      <c r="A37" s="2" t="s">
        <v>1255</v>
      </c>
    </row>
    <row r="38" spans="1:15" x14ac:dyDescent="0.25">
      <c r="A38" t="s">
        <v>230</v>
      </c>
      <c r="B38" t="s">
        <v>231</v>
      </c>
      <c r="F38" t="s">
        <v>179</v>
      </c>
      <c r="J38" t="s">
        <v>1293</v>
      </c>
    </row>
    <row r="39" spans="1:15" x14ac:dyDescent="0.25">
      <c r="B39" t="s">
        <v>80</v>
      </c>
      <c r="C39" t="s">
        <v>232</v>
      </c>
      <c r="F39" s="37" t="s">
        <v>80</v>
      </c>
      <c r="G39" s="37" t="s">
        <v>232</v>
      </c>
      <c r="H39" t="s">
        <v>575</v>
      </c>
      <c r="I39" t="s">
        <v>576</v>
      </c>
      <c r="J39" t="s">
        <v>80</v>
      </c>
      <c r="K39" t="s">
        <v>232</v>
      </c>
      <c r="L39" t="s">
        <v>575</v>
      </c>
      <c r="M39" t="s">
        <v>576</v>
      </c>
    </row>
    <row r="40" spans="1:15" x14ac:dyDescent="0.25">
      <c r="B40" t="s">
        <v>155</v>
      </c>
      <c r="C40">
        <v>91.4</v>
      </c>
      <c r="F40" s="37" t="s">
        <v>137</v>
      </c>
      <c r="G40" s="37">
        <v>81.3</v>
      </c>
      <c r="H40">
        <v>75.900000000000006</v>
      </c>
      <c r="I40">
        <v>85.7</v>
      </c>
      <c r="J40" t="s">
        <v>137</v>
      </c>
      <c r="K40" s="7">
        <v>81.041499999999999</v>
      </c>
      <c r="L40" s="7">
        <v>76.115799999999993</v>
      </c>
      <c r="M40" s="7">
        <v>85.967299999999994</v>
      </c>
      <c r="O40" s="7">
        <f>K40-9.5</f>
        <v>71.541499999999999</v>
      </c>
    </row>
    <row r="41" spans="1:15" x14ac:dyDescent="0.25">
      <c r="B41" t="s">
        <v>137</v>
      </c>
      <c r="C41">
        <v>87.1</v>
      </c>
      <c r="F41" s="37" t="s">
        <v>138</v>
      </c>
      <c r="G41" s="37">
        <v>82.2</v>
      </c>
      <c r="H41">
        <v>76.3</v>
      </c>
      <c r="I41">
        <v>86.9</v>
      </c>
      <c r="J41" s="37" t="s">
        <v>138</v>
      </c>
      <c r="K41" s="7">
        <v>82.239800000000002</v>
      </c>
      <c r="L41" s="7">
        <v>76.9679</v>
      </c>
      <c r="M41" s="7">
        <v>87.511799999999994</v>
      </c>
      <c r="O41" s="7">
        <f>K41-9.5</f>
        <v>72.739800000000002</v>
      </c>
    </row>
    <row r="42" spans="1:15" x14ac:dyDescent="0.25">
      <c r="B42" t="s">
        <v>138</v>
      </c>
      <c r="C42">
        <v>96.5</v>
      </c>
      <c r="F42" s="37" t="s">
        <v>139</v>
      </c>
      <c r="G42" s="37">
        <v>70.900000000000006</v>
      </c>
      <c r="H42">
        <v>63</v>
      </c>
      <c r="I42">
        <v>77.7</v>
      </c>
      <c r="J42" s="37" t="s">
        <v>139</v>
      </c>
      <c r="K42" s="7">
        <v>70.877099999999999</v>
      </c>
      <c r="L42" s="7">
        <v>63.5105</v>
      </c>
      <c r="M42" s="7">
        <v>78.243700000000004</v>
      </c>
      <c r="O42" s="7">
        <f>K42-20</f>
        <v>50.877099999999999</v>
      </c>
    </row>
    <row r="43" spans="1:15" x14ac:dyDescent="0.25">
      <c r="B43" t="s">
        <v>139</v>
      </c>
      <c r="C43">
        <v>94.6</v>
      </c>
      <c r="F43" s="37" t="s">
        <v>140</v>
      </c>
      <c r="G43" s="37">
        <v>66.8</v>
      </c>
      <c r="H43">
        <v>58.4</v>
      </c>
      <c r="I43">
        <v>74.2</v>
      </c>
      <c r="J43" t="s">
        <v>156</v>
      </c>
      <c r="K43" s="7">
        <v>63.777799999999999</v>
      </c>
      <c r="L43" s="7">
        <v>58.135199999999998</v>
      </c>
      <c r="M43" s="7">
        <v>69.420400000000001</v>
      </c>
      <c r="O43" s="7">
        <f>K43-20</f>
        <v>43.777799999999999</v>
      </c>
    </row>
    <row r="44" spans="1:15" x14ac:dyDescent="0.25">
      <c r="B44" t="s">
        <v>156</v>
      </c>
      <c r="C44">
        <v>93.4</v>
      </c>
      <c r="F44" s="37" t="s">
        <v>141</v>
      </c>
      <c r="G44" s="37">
        <v>60.8</v>
      </c>
      <c r="H44">
        <v>53</v>
      </c>
      <c r="I44">
        <v>68.099999999999994</v>
      </c>
      <c r="J44" t="s">
        <v>157</v>
      </c>
      <c r="K44" s="7">
        <v>61.665799999999997</v>
      </c>
      <c r="L44" s="7">
        <v>53.512</v>
      </c>
      <c r="M44" s="7">
        <v>69.819500000000005</v>
      </c>
      <c r="O44" s="7">
        <f>K44-20</f>
        <v>41.665799999999997</v>
      </c>
    </row>
    <row r="45" spans="1:15" x14ac:dyDescent="0.25">
      <c r="B45" t="s">
        <v>157</v>
      </c>
      <c r="C45">
        <v>91.9</v>
      </c>
      <c r="F45" s="37" t="s">
        <v>142</v>
      </c>
      <c r="G45" s="37">
        <v>57.5</v>
      </c>
      <c r="H45">
        <v>46.7</v>
      </c>
      <c r="I45">
        <v>68</v>
      </c>
      <c r="J45" t="s">
        <v>1294</v>
      </c>
      <c r="K45" s="7">
        <v>60.636200000000002</v>
      </c>
      <c r="L45" s="7">
        <v>48.070700000000002</v>
      </c>
      <c r="M45" s="7">
        <v>73.201800000000006</v>
      </c>
      <c r="O45" s="7">
        <f>K45-20</f>
        <v>40.636200000000002</v>
      </c>
    </row>
    <row r="46" spans="1:15" x14ac:dyDescent="0.25">
      <c r="B46" t="s">
        <v>144</v>
      </c>
      <c r="C46">
        <v>92.6</v>
      </c>
      <c r="F46" s="37" t="s">
        <v>143</v>
      </c>
      <c r="G46" s="37">
        <v>66</v>
      </c>
      <c r="H46">
        <v>55.6</v>
      </c>
      <c r="I46">
        <v>75.099999999999994</v>
      </c>
    </row>
    <row r="47" spans="1:15" x14ac:dyDescent="0.25">
      <c r="B47" t="s">
        <v>158</v>
      </c>
      <c r="C47">
        <v>72.099999999999994</v>
      </c>
    </row>
    <row r="48" spans="1:15" s="37" customFormat="1" x14ac:dyDescent="0.25"/>
    <row r="49" spans="1:7" x14ac:dyDescent="0.25">
      <c r="A49" s="42" t="s">
        <v>699</v>
      </c>
    </row>
    <row r="50" spans="1:7" x14ac:dyDescent="0.25">
      <c r="A50" s="2" t="s">
        <v>698</v>
      </c>
    </row>
    <row r="51" spans="1:7" x14ac:dyDescent="0.25">
      <c r="B51" t="s">
        <v>1249</v>
      </c>
    </row>
    <row r="52" spans="1:7" s="37" customFormat="1" x14ac:dyDescent="0.25">
      <c r="B52" s="37" t="s">
        <v>1250</v>
      </c>
    </row>
    <row r="53" spans="1:7" x14ac:dyDescent="0.25">
      <c r="B53" t="s">
        <v>1251</v>
      </c>
    </row>
    <row r="55" spans="1:7" x14ac:dyDescent="0.25">
      <c r="A55" s="2" t="s">
        <v>700</v>
      </c>
    </row>
    <row r="56" spans="1:7" x14ac:dyDescent="0.25">
      <c r="C56" t="s">
        <v>1141</v>
      </c>
    </row>
    <row r="57" spans="1:7" s="37" customFormat="1" x14ac:dyDescent="0.25">
      <c r="C57" s="37" t="s">
        <v>1120</v>
      </c>
      <c r="D57" s="37" t="s">
        <v>575</v>
      </c>
      <c r="E57" s="37" t="s">
        <v>576</v>
      </c>
    </row>
    <row r="58" spans="1:7" x14ac:dyDescent="0.25">
      <c r="B58" t="s">
        <v>701</v>
      </c>
      <c r="C58">
        <v>0.52</v>
      </c>
      <c r="D58">
        <v>0.4</v>
      </c>
      <c r="E58">
        <v>0.68</v>
      </c>
    </row>
    <row r="59" spans="1:7" x14ac:dyDescent="0.25">
      <c r="B59" t="s">
        <v>702</v>
      </c>
      <c r="C59">
        <v>0.42</v>
      </c>
      <c r="D59">
        <v>0.34</v>
      </c>
      <c r="E59">
        <v>0.54</v>
      </c>
    </row>
    <row r="60" spans="1:7" x14ac:dyDescent="0.25">
      <c r="B60" t="s">
        <v>703</v>
      </c>
      <c r="C60">
        <v>0.28999999999999998</v>
      </c>
      <c r="D60">
        <v>0.2</v>
      </c>
      <c r="E60">
        <v>0.41</v>
      </c>
    </row>
    <row r="61" spans="1:7" x14ac:dyDescent="0.25">
      <c r="B61" t="s">
        <v>704</v>
      </c>
      <c r="C61">
        <v>0.56000000000000005</v>
      </c>
      <c r="D61">
        <v>0.44</v>
      </c>
      <c r="E61">
        <v>0.7</v>
      </c>
    </row>
    <row r="63" spans="1:7" x14ac:dyDescent="0.25">
      <c r="A63" s="2" t="s">
        <v>1102</v>
      </c>
    </row>
    <row r="64" spans="1:7" x14ac:dyDescent="0.25">
      <c r="B64" t="s">
        <v>1104</v>
      </c>
      <c r="C64" t="s">
        <v>1116</v>
      </c>
      <c r="D64" t="s">
        <v>1117</v>
      </c>
      <c r="E64" t="s">
        <v>1118</v>
      </c>
      <c r="F64" t="s">
        <v>420</v>
      </c>
      <c r="G64" t="s">
        <v>1119</v>
      </c>
    </row>
    <row r="65" spans="2:7" x14ac:dyDescent="0.25">
      <c r="B65" t="s">
        <v>472</v>
      </c>
      <c r="C65">
        <v>46.7</v>
      </c>
      <c r="D65">
        <v>6.6</v>
      </c>
      <c r="E65">
        <v>53.3</v>
      </c>
      <c r="F65">
        <v>44.6</v>
      </c>
      <c r="G65">
        <v>2.2000000000000002</v>
      </c>
    </row>
    <row r="66" spans="2:7" x14ac:dyDescent="0.25">
      <c r="B66" t="s">
        <v>473</v>
      </c>
      <c r="C66">
        <v>55.5</v>
      </c>
      <c r="D66">
        <v>5.7</v>
      </c>
      <c r="E66">
        <v>61.2</v>
      </c>
      <c r="F66">
        <v>38.700000000000003</v>
      </c>
      <c r="G66">
        <v>0.1</v>
      </c>
    </row>
    <row r="67" spans="2:7" x14ac:dyDescent="0.25">
      <c r="B67" t="s">
        <v>471</v>
      </c>
      <c r="C67">
        <v>56.4</v>
      </c>
      <c r="D67">
        <v>2.7</v>
      </c>
      <c r="E67">
        <v>59.1</v>
      </c>
      <c r="F67">
        <v>40</v>
      </c>
      <c r="G67">
        <v>0.9</v>
      </c>
    </row>
    <row r="68" spans="2:7" x14ac:dyDescent="0.25">
      <c r="B68" t="s">
        <v>474</v>
      </c>
      <c r="C68">
        <v>42.3</v>
      </c>
      <c r="D68">
        <v>24.4</v>
      </c>
      <c r="E68">
        <v>66.7</v>
      </c>
      <c r="F68">
        <v>32.6</v>
      </c>
      <c r="G68">
        <v>0.7</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53"/>
  <sheetViews>
    <sheetView topLeftCell="A127" workbookViewId="0">
      <selection activeCell="F158" sqref="F158"/>
    </sheetView>
  </sheetViews>
  <sheetFormatPr defaultRowHeight="15" x14ac:dyDescent="0.25"/>
  <sheetData>
    <row r="1" spans="1:4" x14ac:dyDescent="0.25">
      <c r="A1" s="2" t="s">
        <v>136</v>
      </c>
    </row>
    <row r="2" spans="1:4" x14ac:dyDescent="0.25">
      <c r="B2" t="s">
        <v>148</v>
      </c>
    </row>
    <row r="3" spans="1:4" x14ac:dyDescent="0.25">
      <c r="B3" t="s">
        <v>149</v>
      </c>
    </row>
    <row r="5" spans="1:4" x14ac:dyDescent="0.25">
      <c r="A5" t="s">
        <v>191</v>
      </c>
      <c r="B5" t="s">
        <v>190</v>
      </c>
    </row>
    <row r="6" spans="1:4" x14ac:dyDescent="0.25">
      <c r="B6" t="s">
        <v>150</v>
      </c>
      <c r="C6" t="s">
        <v>151</v>
      </c>
      <c r="D6" t="s">
        <v>152</v>
      </c>
    </row>
    <row r="7" spans="1:4" x14ac:dyDescent="0.25">
      <c r="B7" t="s">
        <v>137</v>
      </c>
      <c r="C7">
        <v>96</v>
      </c>
      <c r="D7">
        <f>C7/1000</f>
        <v>9.6000000000000002E-2</v>
      </c>
    </row>
    <row r="8" spans="1:4" x14ac:dyDescent="0.25">
      <c r="B8" t="s">
        <v>138</v>
      </c>
      <c r="C8">
        <v>206</v>
      </c>
      <c r="D8">
        <f t="shared" ref="D8:D14" si="0">C8/1000</f>
        <v>0.20599999999999999</v>
      </c>
    </row>
    <row r="9" spans="1:4" x14ac:dyDescent="0.25">
      <c r="B9" t="s">
        <v>139</v>
      </c>
      <c r="C9">
        <v>183</v>
      </c>
      <c r="D9">
        <f t="shared" si="0"/>
        <v>0.183</v>
      </c>
    </row>
    <row r="10" spans="1:4" x14ac:dyDescent="0.25">
      <c r="B10" t="s">
        <v>140</v>
      </c>
      <c r="C10">
        <v>148</v>
      </c>
      <c r="D10">
        <f t="shared" si="0"/>
        <v>0.14799999999999999</v>
      </c>
    </row>
    <row r="11" spans="1:4" x14ac:dyDescent="0.25">
      <c r="B11" t="s">
        <v>141</v>
      </c>
      <c r="C11">
        <v>100</v>
      </c>
      <c r="D11">
        <f t="shared" si="0"/>
        <v>0.1</v>
      </c>
    </row>
    <row r="12" spans="1:4" x14ac:dyDescent="0.25">
      <c r="B12" t="s">
        <v>142</v>
      </c>
      <c r="C12">
        <v>38</v>
      </c>
      <c r="D12">
        <f t="shared" si="0"/>
        <v>3.7999999999999999E-2</v>
      </c>
    </row>
    <row r="13" spans="1:4" x14ac:dyDescent="0.25">
      <c r="B13" t="s">
        <v>143</v>
      </c>
      <c r="C13">
        <v>9</v>
      </c>
      <c r="D13">
        <f t="shared" si="0"/>
        <v>8.9999999999999993E-3</v>
      </c>
    </row>
    <row r="14" spans="1:4" x14ac:dyDescent="0.25">
      <c r="B14" t="s">
        <v>154</v>
      </c>
      <c r="C14">
        <v>141</v>
      </c>
      <c r="D14">
        <f t="shared" si="0"/>
        <v>0.14099999999999999</v>
      </c>
    </row>
    <row r="16" spans="1:4" x14ac:dyDescent="0.25">
      <c r="A16" t="s">
        <v>189</v>
      </c>
      <c r="B16" t="s">
        <v>192</v>
      </c>
    </row>
    <row r="17" spans="1:10" x14ac:dyDescent="0.25">
      <c r="B17" s="1" t="s">
        <v>195</v>
      </c>
      <c r="C17" t="s">
        <v>198</v>
      </c>
      <c r="D17" t="s">
        <v>200</v>
      </c>
      <c r="E17" t="s">
        <v>202</v>
      </c>
      <c r="F17" t="s">
        <v>204</v>
      </c>
      <c r="H17" t="s">
        <v>206</v>
      </c>
      <c r="I17" t="s">
        <v>208</v>
      </c>
      <c r="J17" t="s">
        <v>210</v>
      </c>
    </row>
    <row r="18" spans="1:10" x14ac:dyDescent="0.25">
      <c r="B18" s="1" t="s">
        <v>197</v>
      </c>
      <c r="C18" t="s">
        <v>194</v>
      </c>
      <c r="D18" t="s">
        <v>199</v>
      </c>
      <c r="E18" t="s">
        <v>201</v>
      </c>
      <c r="F18" t="s">
        <v>203</v>
      </c>
      <c r="G18" t="s">
        <v>205</v>
      </c>
      <c r="H18" t="s">
        <v>207</v>
      </c>
      <c r="I18" t="s">
        <v>209</v>
      </c>
      <c r="J18" t="s">
        <v>211</v>
      </c>
    </row>
    <row r="19" spans="1:10" x14ac:dyDescent="0.25">
      <c r="B19" t="s">
        <v>137</v>
      </c>
      <c r="C19">
        <v>0.16800000000000001</v>
      </c>
      <c r="D19">
        <v>0.152</v>
      </c>
      <c r="E19">
        <v>0.11</v>
      </c>
      <c r="F19">
        <v>0.111</v>
      </c>
      <c r="G19">
        <v>0.14199999999999999</v>
      </c>
      <c r="H19">
        <v>0.114</v>
      </c>
      <c r="I19">
        <v>0.10299999999999999</v>
      </c>
      <c r="J19">
        <v>9.6000000000000002E-2</v>
      </c>
    </row>
    <row r="20" spans="1:10" x14ac:dyDescent="0.25">
      <c r="B20" t="s">
        <v>138</v>
      </c>
      <c r="C20">
        <v>0.34200000000000003</v>
      </c>
      <c r="D20">
        <v>0.314</v>
      </c>
      <c r="E20">
        <v>0.25700000000000001</v>
      </c>
      <c r="F20">
        <v>0.248</v>
      </c>
      <c r="G20">
        <v>0.254</v>
      </c>
      <c r="H20">
        <v>0.24299999999999999</v>
      </c>
      <c r="I20">
        <v>0.23799999999999999</v>
      </c>
      <c r="J20">
        <v>0.20599999999999999</v>
      </c>
    </row>
    <row r="21" spans="1:10" x14ac:dyDescent="0.25">
      <c r="B21" t="s">
        <v>139</v>
      </c>
      <c r="C21">
        <v>0.35699999999999998</v>
      </c>
      <c r="D21">
        <v>0.30299999999999999</v>
      </c>
      <c r="E21">
        <v>0.24099999999999999</v>
      </c>
      <c r="F21">
        <v>0.218</v>
      </c>
      <c r="G21">
        <v>0.23599999999999999</v>
      </c>
      <c r="H21">
        <v>0.23100000000000001</v>
      </c>
      <c r="I21">
        <v>0.216</v>
      </c>
      <c r="J21">
        <v>0.183</v>
      </c>
    </row>
    <row r="22" spans="1:10" x14ac:dyDescent="0.25">
      <c r="B22" t="s">
        <v>140</v>
      </c>
      <c r="C22">
        <v>0.29299999999999998</v>
      </c>
      <c r="D22">
        <v>0.255</v>
      </c>
      <c r="E22">
        <v>0.19700000000000001</v>
      </c>
      <c r="F22">
        <v>0.188</v>
      </c>
      <c r="G22">
        <v>0.185</v>
      </c>
      <c r="H22">
        <v>0.19600000000000001</v>
      </c>
      <c r="I22">
        <v>0.17499999999999999</v>
      </c>
      <c r="J22">
        <v>0.14799999999999999</v>
      </c>
    </row>
    <row r="23" spans="1:10" x14ac:dyDescent="0.25">
      <c r="B23" t="s">
        <v>141</v>
      </c>
      <c r="C23">
        <v>0.23899999999999999</v>
      </c>
      <c r="D23">
        <v>0.183</v>
      </c>
      <c r="E23">
        <v>0.154</v>
      </c>
      <c r="F23">
        <v>0.109</v>
      </c>
      <c r="G23">
        <v>0.127</v>
      </c>
      <c r="H23">
        <v>0.123</v>
      </c>
      <c r="I23">
        <v>0.11799999999999999</v>
      </c>
      <c r="J23">
        <v>0.1</v>
      </c>
    </row>
    <row r="24" spans="1:10" x14ac:dyDescent="0.25">
      <c r="B24" t="s">
        <v>142</v>
      </c>
      <c r="C24">
        <v>0.14499999999999999</v>
      </c>
      <c r="D24">
        <v>9.9000000000000005E-2</v>
      </c>
      <c r="E24">
        <v>7.0000000000000007E-2</v>
      </c>
      <c r="F24">
        <v>5.0999999999999997E-2</v>
      </c>
      <c r="G24">
        <v>5.6000000000000001E-2</v>
      </c>
      <c r="H24">
        <v>5.5E-2</v>
      </c>
      <c r="I24">
        <v>0.05</v>
      </c>
      <c r="J24">
        <v>3.7999999999999999E-2</v>
      </c>
    </row>
    <row r="25" spans="1:10" x14ac:dyDescent="0.25">
      <c r="B25" t="s">
        <v>143</v>
      </c>
      <c r="C25">
        <v>5.8999999999999997E-2</v>
      </c>
      <c r="D25">
        <v>3.5000000000000003E-2</v>
      </c>
      <c r="E25">
        <v>0.05</v>
      </c>
      <c r="F25">
        <v>1.6E-2</v>
      </c>
      <c r="G25">
        <v>7.0000000000000001E-3</v>
      </c>
      <c r="H25">
        <v>1.4999999999999999E-2</v>
      </c>
      <c r="I25">
        <v>1.2E-2</v>
      </c>
      <c r="J25">
        <v>8.9999999999999993E-3</v>
      </c>
    </row>
    <row r="26" spans="1:10" x14ac:dyDescent="0.25">
      <c r="B26" t="s">
        <v>212</v>
      </c>
      <c r="C26">
        <v>8.1</v>
      </c>
      <c r="D26">
        <v>6.7</v>
      </c>
      <c r="E26">
        <v>5.4</v>
      </c>
      <c r="F26">
        <v>4.7</v>
      </c>
      <c r="G26">
        <v>5</v>
      </c>
      <c r="H26">
        <v>4.9000000000000004</v>
      </c>
      <c r="I26">
        <v>4.5999999999999996</v>
      </c>
      <c r="J26">
        <v>3.9</v>
      </c>
    </row>
    <row r="28" spans="1:10" x14ac:dyDescent="0.25">
      <c r="A28" t="s">
        <v>213</v>
      </c>
      <c r="B28" t="s">
        <v>214</v>
      </c>
    </row>
    <row r="29" spans="1:10" x14ac:dyDescent="0.25">
      <c r="B29" t="s">
        <v>80</v>
      </c>
      <c r="C29" t="s">
        <v>145</v>
      </c>
      <c r="D29" t="s">
        <v>146</v>
      </c>
      <c r="E29" t="s">
        <v>147</v>
      </c>
    </row>
    <row r="30" spans="1:10" x14ac:dyDescent="0.25">
      <c r="B30" t="s">
        <v>137</v>
      </c>
      <c r="C30" s="4">
        <v>5820</v>
      </c>
      <c r="D30">
        <v>0.18</v>
      </c>
      <c r="E30">
        <v>0.17</v>
      </c>
      <c r="F30" s="6">
        <f>E30/D30</f>
        <v>0.94444444444444453</v>
      </c>
    </row>
    <row r="31" spans="1:10" x14ac:dyDescent="0.25">
      <c r="B31" t="s">
        <v>138</v>
      </c>
      <c r="C31" s="4">
        <v>5735</v>
      </c>
      <c r="D31">
        <v>1.1100000000000001</v>
      </c>
      <c r="E31">
        <v>1.05</v>
      </c>
      <c r="F31" s="6">
        <f t="shared" ref="F31:F37" si="1">E31/D31</f>
        <v>0.94594594594594594</v>
      </c>
    </row>
    <row r="32" spans="1:10" x14ac:dyDescent="0.25">
      <c r="B32" t="s">
        <v>139</v>
      </c>
      <c r="C32" s="4">
        <v>6100</v>
      </c>
      <c r="D32">
        <v>2.2200000000000002</v>
      </c>
      <c r="E32">
        <v>2.09</v>
      </c>
      <c r="F32" s="6">
        <f t="shared" si="1"/>
        <v>0.94144144144144126</v>
      </c>
    </row>
    <row r="33" spans="1:33" x14ac:dyDescent="0.25">
      <c r="B33" t="s">
        <v>140</v>
      </c>
      <c r="C33" s="4">
        <v>4510</v>
      </c>
      <c r="D33">
        <v>3.27</v>
      </c>
      <c r="E33">
        <v>3.07</v>
      </c>
      <c r="F33" s="6">
        <f t="shared" si="1"/>
        <v>0.9388379204892966</v>
      </c>
    </row>
    <row r="34" spans="1:33" x14ac:dyDescent="0.25">
      <c r="B34" t="s">
        <v>141</v>
      </c>
      <c r="C34" s="4">
        <v>3773</v>
      </c>
      <c r="D34">
        <v>4.13</v>
      </c>
      <c r="E34">
        <v>3.81</v>
      </c>
      <c r="F34" s="6">
        <f t="shared" si="1"/>
        <v>0.92251815980629548</v>
      </c>
    </row>
    <row r="35" spans="1:33" x14ac:dyDescent="0.25">
      <c r="B35" t="s">
        <v>142</v>
      </c>
      <c r="C35" s="4">
        <v>2885</v>
      </c>
      <c r="D35">
        <v>4.8499999999999996</v>
      </c>
      <c r="E35">
        <v>4.4000000000000004</v>
      </c>
      <c r="F35" s="6">
        <f t="shared" si="1"/>
        <v>0.90721649484536093</v>
      </c>
    </row>
    <row r="36" spans="1:33" x14ac:dyDescent="0.25">
      <c r="B36" t="s">
        <v>143</v>
      </c>
      <c r="C36" s="4">
        <v>2257</v>
      </c>
      <c r="D36">
        <v>5.27</v>
      </c>
      <c r="E36">
        <v>4.7300000000000004</v>
      </c>
      <c r="F36" s="6">
        <f t="shared" si="1"/>
        <v>0.8975332068311197</v>
      </c>
    </row>
    <row r="37" spans="1:33" x14ac:dyDescent="0.25">
      <c r="B37" t="s">
        <v>144</v>
      </c>
      <c r="C37" s="4">
        <v>31079</v>
      </c>
      <c r="D37">
        <v>2.48</v>
      </c>
      <c r="E37">
        <v>2.29</v>
      </c>
      <c r="F37" s="6">
        <f t="shared" si="1"/>
        <v>0.92338709677419362</v>
      </c>
    </row>
    <row r="39" spans="1:33" x14ac:dyDescent="0.25">
      <c r="A39" s="2" t="s">
        <v>340</v>
      </c>
      <c r="Q39" t="s">
        <v>495</v>
      </c>
      <c r="Z39" t="s">
        <v>496</v>
      </c>
    </row>
    <row r="40" spans="1:33" x14ac:dyDescent="0.25">
      <c r="B40" t="s">
        <v>337</v>
      </c>
      <c r="Q40" s="21" t="s">
        <v>337</v>
      </c>
      <c r="R40" s="21"/>
      <c r="S40" s="21"/>
      <c r="T40" s="21"/>
      <c r="U40" s="21"/>
      <c r="V40" s="21"/>
      <c r="W40" s="21"/>
      <c r="X40" s="21"/>
      <c r="Z40" s="21" t="s">
        <v>337</v>
      </c>
      <c r="AA40" s="21"/>
      <c r="AB40" s="21"/>
      <c r="AC40" s="21"/>
      <c r="AD40" s="21"/>
      <c r="AE40" s="21"/>
      <c r="AF40" s="21"/>
      <c r="AG40" s="21"/>
    </row>
    <row r="41" spans="1:33" x14ac:dyDescent="0.25">
      <c r="B41" t="s">
        <v>80</v>
      </c>
      <c r="C41" t="s">
        <v>339</v>
      </c>
      <c r="D41" t="s">
        <v>152</v>
      </c>
      <c r="E41" t="s">
        <v>452</v>
      </c>
      <c r="F41" s="21" t="s">
        <v>453</v>
      </c>
      <c r="G41" s="21" t="s">
        <v>454</v>
      </c>
      <c r="H41" s="21" t="s">
        <v>455</v>
      </c>
      <c r="I41" s="21" t="s">
        <v>456</v>
      </c>
      <c r="Q41" s="21" t="s">
        <v>80</v>
      </c>
      <c r="R41" s="21" t="s">
        <v>979</v>
      </c>
      <c r="S41" s="21" t="s">
        <v>452</v>
      </c>
      <c r="T41" s="21" t="s">
        <v>453</v>
      </c>
      <c r="U41" s="21" t="s">
        <v>454</v>
      </c>
      <c r="V41" s="21" t="s">
        <v>455</v>
      </c>
      <c r="W41" s="21" t="s">
        <v>456</v>
      </c>
      <c r="Y41" s="21" t="s">
        <v>80</v>
      </c>
      <c r="Z41" s="21" t="s">
        <v>152</v>
      </c>
      <c r="AA41" s="21" t="s">
        <v>452</v>
      </c>
      <c r="AB41" s="21" t="s">
        <v>453</v>
      </c>
      <c r="AC41" s="21" t="s">
        <v>454</v>
      </c>
      <c r="AD41" s="21" t="s">
        <v>455</v>
      </c>
      <c r="AE41" s="21" t="s">
        <v>456</v>
      </c>
    </row>
    <row r="42" spans="1:33" s="21" customFormat="1" x14ac:dyDescent="0.25">
      <c r="B42" s="21" t="s">
        <v>458</v>
      </c>
      <c r="C42" s="20">
        <v>0</v>
      </c>
      <c r="D42" s="20">
        <v>0</v>
      </c>
      <c r="E42" s="20">
        <f>D42*K$52</f>
        <v>0</v>
      </c>
      <c r="F42" s="20">
        <f>D42*L$52</f>
        <v>0</v>
      </c>
      <c r="G42" s="20">
        <f>D42*M$52</f>
        <v>0</v>
      </c>
      <c r="H42" s="20">
        <f>D42*N$52</f>
        <v>0</v>
      </c>
      <c r="I42" s="20">
        <f>D42*O$52</f>
        <v>0</v>
      </c>
      <c r="Q42" s="21" t="s">
        <v>458</v>
      </c>
      <c r="R42" s="20">
        <v>0</v>
      </c>
      <c r="S42" s="20">
        <f t="shared" ref="S42:S57" si="2">R42*K$52</f>
        <v>0</v>
      </c>
      <c r="T42" s="20">
        <f t="shared" ref="T42:T57" si="3">R42*L$52</f>
        <v>0</v>
      </c>
      <c r="U42" s="20">
        <f t="shared" ref="U42:U57" si="4">R42*M$52</f>
        <v>0</v>
      </c>
      <c r="V42" s="20">
        <f t="shared" ref="V42:V57" si="5">R42*N$52</f>
        <v>0</v>
      </c>
      <c r="W42" s="20">
        <f t="shared" ref="W42:W57" si="6">R42*O$52</f>
        <v>0</v>
      </c>
      <c r="Y42" s="21" t="s">
        <v>458</v>
      </c>
      <c r="Z42" s="20">
        <v>0</v>
      </c>
      <c r="AA42" s="20">
        <f>Z42*K$52</f>
        <v>0</v>
      </c>
      <c r="AB42" s="20">
        <f>Z42*L$52</f>
        <v>0</v>
      </c>
      <c r="AC42" s="20">
        <f>Z42*M$52</f>
        <v>0</v>
      </c>
      <c r="AD42" s="20">
        <f>Z42*N$52</f>
        <v>0</v>
      </c>
      <c r="AE42" s="20">
        <f>Z42*O$52</f>
        <v>0</v>
      </c>
    </row>
    <row r="43" spans="1:33" s="21" customFormat="1" x14ac:dyDescent="0.25">
      <c r="B43" s="22" t="s">
        <v>459</v>
      </c>
      <c r="C43" s="20">
        <v>0</v>
      </c>
      <c r="D43" s="20">
        <v>0</v>
      </c>
      <c r="E43" s="20">
        <f t="shared" ref="E43:E57" si="7">D43*K$52</f>
        <v>0</v>
      </c>
      <c r="F43" s="20">
        <f t="shared" ref="F43:F57" si="8">D43*L$52</f>
        <v>0</v>
      </c>
      <c r="G43" s="20">
        <f t="shared" ref="G43:G57" si="9">D43*M$52</f>
        <v>0</v>
      </c>
      <c r="H43" s="20">
        <f t="shared" ref="H43:H57" si="10">D43*N$52</f>
        <v>0</v>
      </c>
      <c r="I43" s="20">
        <f t="shared" ref="I43:I57" si="11">D43*O$52</f>
        <v>0</v>
      </c>
      <c r="Q43" s="22" t="s">
        <v>459</v>
      </c>
      <c r="R43" s="20">
        <v>0</v>
      </c>
      <c r="S43" s="20">
        <f t="shared" si="2"/>
        <v>0</v>
      </c>
      <c r="T43" s="20">
        <f t="shared" si="3"/>
        <v>0</v>
      </c>
      <c r="U43" s="20">
        <f t="shared" si="4"/>
        <v>0</v>
      </c>
      <c r="V43" s="20">
        <f t="shared" si="5"/>
        <v>0</v>
      </c>
      <c r="W43" s="20">
        <f t="shared" si="6"/>
        <v>0</v>
      </c>
      <c r="Y43" s="22" t="s">
        <v>459</v>
      </c>
      <c r="Z43" s="20">
        <v>0</v>
      </c>
      <c r="AA43" s="20">
        <f t="shared" ref="AA43:AA57" si="12">Z43*K$52</f>
        <v>0</v>
      </c>
      <c r="AB43" s="20">
        <f t="shared" ref="AB43:AB57" si="13">Z43*L$52</f>
        <v>0</v>
      </c>
      <c r="AC43" s="20">
        <f t="shared" ref="AC43:AC57" si="14">Z43*M$52</f>
        <v>0</v>
      </c>
      <c r="AD43" s="20">
        <f t="shared" ref="AD43:AD57" si="15">Z43*N$52</f>
        <v>0</v>
      </c>
      <c r="AE43" s="20">
        <f t="shared" ref="AE43:AE57" si="16">Z43*O$52</f>
        <v>0</v>
      </c>
    </row>
    <row r="44" spans="1:33" x14ac:dyDescent="0.25">
      <c r="B44" s="15" t="s">
        <v>338</v>
      </c>
      <c r="C44">
        <v>3</v>
      </c>
      <c r="D44">
        <f>C44/1000</f>
        <v>3.0000000000000001E-3</v>
      </c>
      <c r="E44" s="20">
        <f t="shared" si="7"/>
        <v>3.0000000000000001E-3</v>
      </c>
      <c r="F44" s="20">
        <f t="shared" si="8"/>
        <v>3.0000000000000001E-3</v>
      </c>
      <c r="G44" s="20">
        <f t="shared" si="9"/>
        <v>1.74E-3</v>
      </c>
      <c r="H44" s="20">
        <f t="shared" si="10"/>
        <v>1.74E-3</v>
      </c>
      <c r="I44" s="20">
        <f t="shared" si="11"/>
        <v>1.23E-3</v>
      </c>
      <c r="Q44" s="22" t="s">
        <v>338</v>
      </c>
      <c r="R44" s="21">
        <v>0</v>
      </c>
      <c r="S44" s="20">
        <f t="shared" si="2"/>
        <v>0</v>
      </c>
      <c r="T44" s="20">
        <f t="shared" si="3"/>
        <v>0</v>
      </c>
      <c r="U44" s="20">
        <f t="shared" si="4"/>
        <v>0</v>
      </c>
      <c r="V44" s="20">
        <f t="shared" si="5"/>
        <v>0</v>
      </c>
      <c r="W44" s="20">
        <f t="shared" si="6"/>
        <v>0</v>
      </c>
      <c r="Y44" s="22" t="s">
        <v>338</v>
      </c>
      <c r="Z44" s="21">
        <v>0</v>
      </c>
      <c r="AA44" s="20">
        <f t="shared" si="12"/>
        <v>0</v>
      </c>
      <c r="AB44" s="20">
        <f t="shared" si="13"/>
        <v>0</v>
      </c>
      <c r="AC44" s="20">
        <f t="shared" si="14"/>
        <v>0</v>
      </c>
      <c r="AD44" s="20">
        <f t="shared" si="15"/>
        <v>0</v>
      </c>
      <c r="AE44" s="20">
        <f t="shared" si="16"/>
        <v>0</v>
      </c>
    </row>
    <row r="45" spans="1:33" x14ac:dyDescent="0.25">
      <c r="B45" s="15" t="s">
        <v>137</v>
      </c>
      <c r="C45">
        <v>179</v>
      </c>
      <c r="D45">
        <f t="shared" ref="D45:D51" si="17">C45/1000</f>
        <v>0.17899999999999999</v>
      </c>
      <c r="E45" s="20">
        <f t="shared" si="7"/>
        <v>0.17899999999999999</v>
      </c>
      <c r="F45" s="20">
        <f t="shared" si="8"/>
        <v>0.17899999999999999</v>
      </c>
      <c r="G45" s="20">
        <f t="shared" si="9"/>
        <v>0.10381999999999998</v>
      </c>
      <c r="H45" s="20">
        <f t="shared" si="10"/>
        <v>0.10381999999999998</v>
      </c>
      <c r="I45" s="20">
        <f t="shared" si="11"/>
        <v>7.3389999999999997E-2</v>
      </c>
      <c r="J45" s="48"/>
      <c r="Q45" s="22" t="s">
        <v>137</v>
      </c>
      <c r="R45" s="21">
        <v>0.11</v>
      </c>
      <c r="S45" s="20">
        <f t="shared" si="2"/>
        <v>0.11</v>
      </c>
      <c r="T45" s="20">
        <f t="shared" si="3"/>
        <v>0.11</v>
      </c>
      <c r="U45" s="20">
        <f t="shared" si="4"/>
        <v>6.3799999999999996E-2</v>
      </c>
      <c r="V45" s="20">
        <f t="shared" si="5"/>
        <v>6.3799999999999996E-2</v>
      </c>
      <c r="W45" s="20">
        <f t="shared" si="6"/>
        <v>4.5099999999999994E-2</v>
      </c>
      <c r="Y45" s="22" t="s">
        <v>137</v>
      </c>
      <c r="Z45" s="21">
        <v>9.6000000000000002E-2</v>
      </c>
      <c r="AA45" s="20">
        <f t="shared" si="12"/>
        <v>9.6000000000000002E-2</v>
      </c>
      <c r="AB45" s="20">
        <f t="shared" si="13"/>
        <v>9.6000000000000002E-2</v>
      </c>
      <c r="AC45" s="20">
        <f t="shared" si="14"/>
        <v>5.568E-2</v>
      </c>
      <c r="AD45" s="20">
        <f t="shared" si="15"/>
        <v>5.568E-2</v>
      </c>
      <c r="AE45" s="20">
        <f t="shared" si="16"/>
        <v>3.9359999999999999E-2</v>
      </c>
    </row>
    <row r="46" spans="1:33" x14ac:dyDescent="0.25">
      <c r="B46" t="s">
        <v>138</v>
      </c>
      <c r="C46">
        <v>368</v>
      </c>
      <c r="D46">
        <f t="shared" si="17"/>
        <v>0.36799999999999999</v>
      </c>
      <c r="E46" s="20">
        <f t="shared" si="7"/>
        <v>0.36799999999999999</v>
      </c>
      <c r="F46" s="20">
        <f t="shared" si="8"/>
        <v>0.36799999999999999</v>
      </c>
      <c r="G46" s="20">
        <f t="shared" si="9"/>
        <v>0.21343999999999999</v>
      </c>
      <c r="H46" s="20">
        <f t="shared" si="10"/>
        <v>0.21343999999999999</v>
      </c>
      <c r="I46" s="20">
        <f t="shared" si="11"/>
        <v>0.15087999999999999</v>
      </c>
      <c r="J46" s="48"/>
      <c r="Q46" s="21" t="s">
        <v>138</v>
      </c>
      <c r="R46" s="21">
        <v>0.25700000000000001</v>
      </c>
      <c r="S46" s="20">
        <f t="shared" si="2"/>
        <v>0.25700000000000001</v>
      </c>
      <c r="T46" s="20">
        <f t="shared" si="3"/>
        <v>0.25700000000000001</v>
      </c>
      <c r="U46" s="20">
        <f t="shared" si="4"/>
        <v>0.14906</v>
      </c>
      <c r="V46" s="20">
        <f t="shared" si="5"/>
        <v>0.14906</v>
      </c>
      <c r="W46" s="20">
        <f t="shared" si="6"/>
        <v>0.10536999999999999</v>
      </c>
      <c r="Y46" s="21" t="s">
        <v>138</v>
      </c>
      <c r="Z46" s="21">
        <v>0.20599999999999999</v>
      </c>
      <c r="AA46" s="20">
        <f t="shared" si="12"/>
        <v>0.20599999999999999</v>
      </c>
      <c r="AB46" s="20">
        <f t="shared" si="13"/>
        <v>0.20599999999999999</v>
      </c>
      <c r="AC46" s="20">
        <f t="shared" si="14"/>
        <v>0.11947999999999999</v>
      </c>
      <c r="AD46" s="20">
        <f t="shared" si="15"/>
        <v>0.11947999999999999</v>
      </c>
      <c r="AE46" s="20">
        <f t="shared" si="16"/>
        <v>8.4459999999999993E-2</v>
      </c>
    </row>
    <row r="47" spans="1:33" x14ac:dyDescent="0.25">
      <c r="B47" t="s">
        <v>139</v>
      </c>
      <c r="C47">
        <v>372</v>
      </c>
      <c r="D47">
        <f t="shared" si="17"/>
        <v>0.372</v>
      </c>
      <c r="E47" s="20">
        <f t="shared" si="7"/>
        <v>0.372</v>
      </c>
      <c r="F47" s="20">
        <f t="shared" si="8"/>
        <v>0.372</v>
      </c>
      <c r="G47" s="20">
        <f t="shared" si="9"/>
        <v>0.21575999999999998</v>
      </c>
      <c r="H47" s="20">
        <f t="shared" si="10"/>
        <v>0.21575999999999998</v>
      </c>
      <c r="I47" s="20">
        <f t="shared" si="11"/>
        <v>0.15251999999999999</v>
      </c>
      <c r="J47" s="48"/>
      <c r="Q47" s="21" t="s">
        <v>139</v>
      </c>
      <c r="R47" s="21">
        <v>0.24099999999999999</v>
      </c>
      <c r="S47" s="20">
        <f t="shared" si="2"/>
        <v>0.24099999999999999</v>
      </c>
      <c r="T47" s="20">
        <f t="shared" si="3"/>
        <v>0.24099999999999999</v>
      </c>
      <c r="U47" s="20">
        <f t="shared" si="4"/>
        <v>0.13977999999999999</v>
      </c>
      <c r="V47" s="20">
        <f t="shared" si="5"/>
        <v>0.13977999999999999</v>
      </c>
      <c r="W47" s="20">
        <f t="shared" si="6"/>
        <v>9.8809999999999995E-2</v>
      </c>
      <c r="Y47" s="21" t="s">
        <v>139</v>
      </c>
      <c r="Z47" s="21">
        <v>0.183</v>
      </c>
      <c r="AA47" s="20">
        <f t="shared" si="12"/>
        <v>0.183</v>
      </c>
      <c r="AB47" s="20">
        <f t="shared" si="13"/>
        <v>0.183</v>
      </c>
      <c r="AC47" s="20">
        <f t="shared" si="14"/>
        <v>0.10613999999999998</v>
      </c>
      <c r="AD47" s="20">
        <f t="shared" si="15"/>
        <v>0.10613999999999998</v>
      </c>
      <c r="AE47" s="20">
        <f t="shared" si="16"/>
        <v>7.5029999999999999E-2</v>
      </c>
    </row>
    <row r="48" spans="1:33" x14ac:dyDescent="0.25">
      <c r="B48" t="s">
        <v>140</v>
      </c>
      <c r="C48">
        <v>311</v>
      </c>
      <c r="D48">
        <f t="shared" si="17"/>
        <v>0.311</v>
      </c>
      <c r="E48" s="20">
        <f t="shared" si="7"/>
        <v>0.311</v>
      </c>
      <c r="F48" s="20">
        <f t="shared" si="8"/>
        <v>0.311</v>
      </c>
      <c r="G48" s="20">
        <f t="shared" si="9"/>
        <v>0.18037999999999998</v>
      </c>
      <c r="H48" s="20">
        <f t="shared" si="10"/>
        <v>0.18037999999999998</v>
      </c>
      <c r="I48" s="20">
        <f t="shared" si="11"/>
        <v>0.12750999999999998</v>
      </c>
      <c r="J48" s="48"/>
      <c r="Q48" s="21" t="s">
        <v>140</v>
      </c>
      <c r="R48" s="21">
        <v>0.19700000000000001</v>
      </c>
      <c r="S48" s="20">
        <f t="shared" si="2"/>
        <v>0.19700000000000001</v>
      </c>
      <c r="T48" s="20">
        <f t="shared" si="3"/>
        <v>0.19700000000000001</v>
      </c>
      <c r="U48" s="20">
        <f t="shared" si="4"/>
        <v>0.11426</v>
      </c>
      <c r="V48" s="20">
        <f t="shared" si="5"/>
        <v>0.11426</v>
      </c>
      <c r="W48" s="20">
        <f t="shared" si="6"/>
        <v>8.0769999999999995E-2</v>
      </c>
      <c r="Y48" s="21" t="s">
        <v>140</v>
      </c>
      <c r="Z48" s="21">
        <v>0.14799999999999999</v>
      </c>
      <c r="AA48" s="20">
        <f t="shared" si="12"/>
        <v>0.14799999999999999</v>
      </c>
      <c r="AB48" s="20">
        <f t="shared" si="13"/>
        <v>0.14799999999999999</v>
      </c>
      <c r="AC48" s="20">
        <f t="shared" si="14"/>
        <v>8.5839999999999986E-2</v>
      </c>
      <c r="AD48" s="20">
        <f t="shared" si="15"/>
        <v>8.5839999999999986E-2</v>
      </c>
      <c r="AE48" s="20">
        <f t="shared" si="16"/>
        <v>6.0679999999999991E-2</v>
      </c>
    </row>
    <row r="49" spans="1:31" x14ac:dyDescent="0.25">
      <c r="B49" t="s">
        <v>141</v>
      </c>
      <c r="C49">
        <v>226</v>
      </c>
      <c r="D49">
        <f t="shared" si="17"/>
        <v>0.22600000000000001</v>
      </c>
      <c r="E49" s="20">
        <f t="shared" si="7"/>
        <v>0.22600000000000001</v>
      </c>
      <c r="F49" s="20">
        <f t="shared" si="8"/>
        <v>0.22600000000000001</v>
      </c>
      <c r="G49" s="20">
        <f t="shared" si="9"/>
        <v>0.13108</v>
      </c>
      <c r="H49" s="20">
        <f t="shared" si="10"/>
        <v>0.13108</v>
      </c>
      <c r="I49" s="20">
        <f t="shared" si="11"/>
        <v>9.2659999999999992E-2</v>
      </c>
      <c r="J49" s="48"/>
      <c r="Q49" s="21" t="s">
        <v>141</v>
      </c>
      <c r="R49" s="21">
        <v>0.154</v>
      </c>
      <c r="S49" s="20">
        <f t="shared" si="2"/>
        <v>0.154</v>
      </c>
      <c r="T49" s="20">
        <f t="shared" si="3"/>
        <v>0.154</v>
      </c>
      <c r="U49" s="20">
        <f t="shared" si="4"/>
        <v>8.9319999999999997E-2</v>
      </c>
      <c r="V49" s="20">
        <f t="shared" si="5"/>
        <v>8.9319999999999997E-2</v>
      </c>
      <c r="W49" s="20">
        <f t="shared" si="6"/>
        <v>6.3140000000000002E-2</v>
      </c>
      <c r="Y49" s="21" t="s">
        <v>141</v>
      </c>
      <c r="Z49" s="21">
        <v>0.1</v>
      </c>
      <c r="AA49" s="20">
        <f t="shared" si="12"/>
        <v>0.1</v>
      </c>
      <c r="AB49" s="20">
        <f t="shared" si="13"/>
        <v>0.1</v>
      </c>
      <c r="AC49" s="20">
        <f t="shared" si="14"/>
        <v>5.7999999999999996E-2</v>
      </c>
      <c r="AD49" s="20">
        <f t="shared" si="15"/>
        <v>5.7999999999999996E-2</v>
      </c>
      <c r="AE49" s="20">
        <f t="shared" si="16"/>
        <v>4.1000000000000002E-2</v>
      </c>
    </row>
    <row r="50" spans="1:31" x14ac:dyDescent="0.25">
      <c r="B50" t="s">
        <v>142</v>
      </c>
      <c r="C50">
        <v>105</v>
      </c>
      <c r="D50">
        <f t="shared" si="17"/>
        <v>0.105</v>
      </c>
      <c r="E50" s="20">
        <f t="shared" si="7"/>
        <v>0.105</v>
      </c>
      <c r="F50" s="20">
        <f t="shared" si="8"/>
        <v>0.105</v>
      </c>
      <c r="G50" s="20">
        <f t="shared" si="9"/>
        <v>6.0899999999999996E-2</v>
      </c>
      <c r="H50" s="20">
        <f t="shared" si="10"/>
        <v>6.0899999999999996E-2</v>
      </c>
      <c r="I50" s="20">
        <f t="shared" si="11"/>
        <v>4.3049999999999998E-2</v>
      </c>
      <c r="J50" s="48"/>
      <c r="Q50" s="21" t="s">
        <v>142</v>
      </c>
      <c r="R50" s="21">
        <v>7.0000000000000007E-2</v>
      </c>
      <c r="S50" s="20">
        <f t="shared" si="2"/>
        <v>7.0000000000000007E-2</v>
      </c>
      <c r="T50" s="20">
        <f t="shared" si="3"/>
        <v>7.0000000000000007E-2</v>
      </c>
      <c r="U50" s="20">
        <f t="shared" si="4"/>
        <v>4.0600000000000004E-2</v>
      </c>
      <c r="V50" s="20">
        <f t="shared" si="5"/>
        <v>4.0600000000000004E-2</v>
      </c>
      <c r="W50" s="20">
        <f t="shared" si="6"/>
        <v>2.87E-2</v>
      </c>
      <c r="Y50" s="21" t="s">
        <v>142</v>
      </c>
      <c r="Z50" s="21">
        <v>3.7999999999999999E-2</v>
      </c>
      <c r="AA50" s="20">
        <f t="shared" si="12"/>
        <v>3.7999999999999999E-2</v>
      </c>
      <c r="AB50" s="20">
        <f t="shared" si="13"/>
        <v>3.7999999999999999E-2</v>
      </c>
      <c r="AC50" s="20">
        <f t="shared" si="14"/>
        <v>2.2039999999999997E-2</v>
      </c>
      <c r="AD50" s="20">
        <f t="shared" si="15"/>
        <v>2.2039999999999997E-2</v>
      </c>
      <c r="AE50" s="20">
        <f t="shared" si="16"/>
        <v>1.5579999999999998E-2</v>
      </c>
    </row>
    <row r="51" spans="1:31" x14ac:dyDescent="0.25">
      <c r="B51" t="s">
        <v>143</v>
      </c>
      <c r="C51">
        <v>14</v>
      </c>
      <c r="D51">
        <f t="shared" si="17"/>
        <v>1.4E-2</v>
      </c>
      <c r="E51" s="20">
        <f t="shared" si="7"/>
        <v>1.4E-2</v>
      </c>
      <c r="F51" s="20">
        <f t="shared" si="8"/>
        <v>1.4E-2</v>
      </c>
      <c r="G51" s="20">
        <f t="shared" si="9"/>
        <v>8.1199999999999987E-3</v>
      </c>
      <c r="H51" s="20">
        <f t="shared" si="10"/>
        <v>8.1199999999999987E-3</v>
      </c>
      <c r="I51" s="20">
        <f t="shared" si="11"/>
        <v>5.7399999999999994E-3</v>
      </c>
      <c r="J51" s="48"/>
      <c r="K51" t="s">
        <v>452</v>
      </c>
      <c r="L51" t="s">
        <v>453</v>
      </c>
      <c r="M51" t="s">
        <v>454</v>
      </c>
      <c r="N51" t="s">
        <v>455</v>
      </c>
      <c r="O51" t="s">
        <v>456</v>
      </c>
      <c r="Q51" s="21" t="s">
        <v>143</v>
      </c>
      <c r="R51" s="21">
        <v>0.05</v>
      </c>
      <c r="S51" s="20">
        <f t="shared" si="2"/>
        <v>0.05</v>
      </c>
      <c r="T51" s="20">
        <f t="shared" si="3"/>
        <v>0.05</v>
      </c>
      <c r="U51" s="20">
        <f t="shared" si="4"/>
        <v>2.8999999999999998E-2</v>
      </c>
      <c r="V51" s="20">
        <f t="shared" si="5"/>
        <v>2.8999999999999998E-2</v>
      </c>
      <c r="W51" s="20">
        <f t="shared" si="6"/>
        <v>2.0500000000000001E-2</v>
      </c>
      <c r="Y51" s="21" t="s">
        <v>143</v>
      </c>
      <c r="Z51" s="21">
        <v>8.9999999999999993E-3</v>
      </c>
      <c r="AA51" s="20">
        <f t="shared" si="12"/>
        <v>8.9999999999999993E-3</v>
      </c>
      <c r="AB51" s="20">
        <f t="shared" si="13"/>
        <v>8.9999999999999993E-3</v>
      </c>
      <c r="AC51" s="20">
        <f t="shared" si="14"/>
        <v>5.2199999999999989E-3</v>
      </c>
      <c r="AD51" s="20">
        <f t="shared" si="15"/>
        <v>5.2199999999999989E-3</v>
      </c>
      <c r="AE51" s="20">
        <f t="shared" si="16"/>
        <v>3.6899999999999997E-3</v>
      </c>
    </row>
    <row r="52" spans="1:31" x14ac:dyDescent="0.25">
      <c r="B52" t="s">
        <v>460</v>
      </c>
      <c r="C52" s="20">
        <v>0</v>
      </c>
      <c r="D52" s="20">
        <v>0</v>
      </c>
      <c r="E52" s="20">
        <f t="shared" si="7"/>
        <v>0</v>
      </c>
      <c r="F52" s="20">
        <f t="shared" si="8"/>
        <v>0</v>
      </c>
      <c r="G52" s="20">
        <f t="shared" si="9"/>
        <v>0</v>
      </c>
      <c r="H52" s="20">
        <f t="shared" si="10"/>
        <v>0</v>
      </c>
      <c r="I52" s="20">
        <f t="shared" si="11"/>
        <v>0</v>
      </c>
      <c r="J52" t="s">
        <v>457</v>
      </c>
      <c r="K52">
        <v>1</v>
      </c>
      <c r="L52">
        <v>1</v>
      </c>
      <c r="M52">
        <v>0.57999999999999996</v>
      </c>
      <c r="N52">
        <v>0.57999999999999996</v>
      </c>
      <c r="O52">
        <v>0.41</v>
      </c>
      <c r="Q52" s="21" t="s">
        <v>460</v>
      </c>
      <c r="R52" s="20">
        <v>0</v>
      </c>
      <c r="S52" s="20">
        <f t="shared" si="2"/>
        <v>0</v>
      </c>
      <c r="T52" s="20">
        <f t="shared" si="3"/>
        <v>0</v>
      </c>
      <c r="U52" s="20">
        <f t="shared" si="4"/>
        <v>0</v>
      </c>
      <c r="V52" s="20">
        <f t="shared" si="5"/>
        <v>0</v>
      </c>
      <c r="W52" s="20">
        <f t="shared" si="6"/>
        <v>0</v>
      </c>
      <c r="Y52" s="21" t="s">
        <v>460</v>
      </c>
      <c r="Z52" s="20">
        <v>0</v>
      </c>
      <c r="AA52" s="20">
        <f t="shared" si="12"/>
        <v>0</v>
      </c>
      <c r="AB52" s="20">
        <f t="shared" si="13"/>
        <v>0</v>
      </c>
      <c r="AC52" s="20">
        <f t="shared" si="14"/>
        <v>0</v>
      </c>
      <c r="AD52" s="20">
        <f t="shared" si="15"/>
        <v>0</v>
      </c>
      <c r="AE52" s="20">
        <f t="shared" si="16"/>
        <v>0</v>
      </c>
    </row>
    <row r="53" spans="1:31" x14ac:dyDescent="0.25">
      <c r="B53" t="s">
        <v>461</v>
      </c>
      <c r="C53" s="20">
        <v>0</v>
      </c>
      <c r="D53" s="20">
        <v>0</v>
      </c>
      <c r="E53" s="20">
        <f t="shared" si="7"/>
        <v>0</v>
      </c>
      <c r="F53" s="20">
        <f t="shared" si="8"/>
        <v>0</v>
      </c>
      <c r="G53" s="20">
        <f t="shared" si="9"/>
        <v>0</v>
      </c>
      <c r="H53" s="20">
        <f t="shared" si="10"/>
        <v>0</v>
      </c>
      <c r="I53" s="20">
        <f t="shared" si="11"/>
        <v>0</v>
      </c>
      <c r="Q53" s="21" t="s">
        <v>461</v>
      </c>
      <c r="R53" s="20">
        <v>0</v>
      </c>
      <c r="S53" s="20">
        <f t="shared" si="2"/>
        <v>0</v>
      </c>
      <c r="T53" s="20">
        <f t="shared" si="3"/>
        <v>0</v>
      </c>
      <c r="U53" s="20">
        <f t="shared" si="4"/>
        <v>0</v>
      </c>
      <c r="V53" s="20">
        <f t="shared" si="5"/>
        <v>0</v>
      </c>
      <c r="W53" s="20">
        <f t="shared" si="6"/>
        <v>0</v>
      </c>
      <c r="Y53" s="21" t="s">
        <v>461</v>
      </c>
      <c r="Z53" s="20">
        <v>0</v>
      </c>
      <c r="AA53" s="20">
        <f t="shared" si="12"/>
        <v>0</v>
      </c>
      <c r="AB53" s="20">
        <f t="shared" si="13"/>
        <v>0</v>
      </c>
      <c r="AC53" s="20">
        <f t="shared" si="14"/>
        <v>0</v>
      </c>
      <c r="AD53" s="20">
        <f t="shared" si="15"/>
        <v>0</v>
      </c>
      <c r="AE53" s="20">
        <f t="shared" si="16"/>
        <v>0</v>
      </c>
    </row>
    <row r="54" spans="1:31" s="21" customFormat="1" x14ac:dyDescent="0.25">
      <c r="B54" s="21" t="s">
        <v>324</v>
      </c>
      <c r="C54" s="20">
        <v>0</v>
      </c>
      <c r="D54" s="20">
        <v>0</v>
      </c>
      <c r="E54" s="20">
        <f t="shared" si="7"/>
        <v>0</v>
      </c>
      <c r="F54" s="20">
        <f t="shared" si="8"/>
        <v>0</v>
      </c>
      <c r="G54" s="20">
        <f t="shared" si="9"/>
        <v>0</v>
      </c>
      <c r="H54" s="20">
        <f t="shared" si="10"/>
        <v>0</v>
      </c>
      <c r="I54" s="20">
        <f t="shared" si="11"/>
        <v>0</v>
      </c>
      <c r="Q54" s="21" t="s">
        <v>324</v>
      </c>
      <c r="R54" s="20">
        <v>0</v>
      </c>
      <c r="S54" s="20">
        <f t="shared" si="2"/>
        <v>0</v>
      </c>
      <c r="T54" s="20">
        <f t="shared" si="3"/>
        <v>0</v>
      </c>
      <c r="U54" s="20">
        <f t="shared" si="4"/>
        <v>0</v>
      </c>
      <c r="V54" s="20">
        <f t="shared" si="5"/>
        <v>0</v>
      </c>
      <c r="W54" s="20">
        <f t="shared" si="6"/>
        <v>0</v>
      </c>
      <c r="Y54" s="21" t="s">
        <v>324</v>
      </c>
      <c r="Z54" s="20">
        <v>0</v>
      </c>
      <c r="AA54" s="20">
        <f t="shared" si="12"/>
        <v>0</v>
      </c>
      <c r="AB54" s="20">
        <f t="shared" si="13"/>
        <v>0</v>
      </c>
      <c r="AC54" s="20">
        <f t="shared" si="14"/>
        <v>0</v>
      </c>
      <c r="AD54" s="20">
        <f t="shared" si="15"/>
        <v>0</v>
      </c>
      <c r="AE54" s="20">
        <f t="shared" si="16"/>
        <v>0</v>
      </c>
    </row>
    <row r="55" spans="1:31" s="21" customFormat="1" x14ac:dyDescent="0.25">
      <c r="B55" s="21" t="s">
        <v>462</v>
      </c>
      <c r="C55" s="20">
        <v>0</v>
      </c>
      <c r="D55" s="20">
        <v>0</v>
      </c>
      <c r="E55" s="20">
        <f t="shared" si="7"/>
        <v>0</v>
      </c>
      <c r="F55" s="20">
        <f t="shared" si="8"/>
        <v>0</v>
      </c>
      <c r="G55" s="20">
        <f t="shared" si="9"/>
        <v>0</v>
      </c>
      <c r="H55" s="20">
        <f t="shared" si="10"/>
        <v>0</v>
      </c>
      <c r="I55" s="20">
        <f t="shared" si="11"/>
        <v>0</v>
      </c>
      <c r="Q55" s="21" t="s">
        <v>462</v>
      </c>
      <c r="R55" s="20">
        <v>0</v>
      </c>
      <c r="S55" s="20">
        <f t="shared" si="2"/>
        <v>0</v>
      </c>
      <c r="T55" s="20">
        <f t="shared" si="3"/>
        <v>0</v>
      </c>
      <c r="U55" s="20">
        <f t="shared" si="4"/>
        <v>0</v>
      </c>
      <c r="V55" s="20">
        <f t="shared" si="5"/>
        <v>0</v>
      </c>
      <c r="W55" s="20">
        <f t="shared" si="6"/>
        <v>0</v>
      </c>
      <c r="Y55" s="21" t="s">
        <v>462</v>
      </c>
      <c r="Z55" s="20">
        <v>0</v>
      </c>
      <c r="AA55" s="20">
        <f t="shared" si="12"/>
        <v>0</v>
      </c>
      <c r="AB55" s="20">
        <f t="shared" si="13"/>
        <v>0</v>
      </c>
      <c r="AC55" s="20">
        <f t="shared" si="14"/>
        <v>0</v>
      </c>
      <c r="AD55" s="20">
        <f t="shared" si="15"/>
        <v>0</v>
      </c>
      <c r="AE55" s="20">
        <f t="shared" si="16"/>
        <v>0</v>
      </c>
    </row>
    <row r="56" spans="1:31" s="21" customFormat="1" x14ac:dyDescent="0.25">
      <c r="B56" s="21" t="s">
        <v>463</v>
      </c>
      <c r="C56" s="20">
        <v>0</v>
      </c>
      <c r="D56" s="20">
        <v>0</v>
      </c>
      <c r="E56" s="20">
        <f t="shared" si="7"/>
        <v>0</v>
      </c>
      <c r="F56" s="20">
        <f t="shared" si="8"/>
        <v>0</v>
      </c>
      <c r="G56" s="20">
        <f t="shared" si="9"/>
        <v>0</v>
      </c>
      <c r="H56" s="20">
        <f t="shared" si="10"/>
        <v>0</v>
      </c>
      <c r="I56" s="20">
        <f t="shared" si="11"/>
        <v>0</v>
      </c>
      <c r="Q56" s="21" t="s">
        <v>463</v>
      </c>
      <c r="R56" s="20">
        <v>0</v>
      </c>
      <c r="S56" s="20">
        <f t="shared" si="2"/>
        <v>0</v>
      </c>
      <c r="T56" s="20">
        <f t="shared" si="3"/>
        <v>0</v>
      </c>
      <c r="U56" s="20">
        <f t="shared" si="4"/>
        <v>0</v>
      </c>
      <c r="V56" s="20">
        <f t="shared" si="5"/>
        <v>0</v>
      </c>
      <c r="W56" s="20">
        <f t="shared" si="6"/>
        <v>0</v>
      </c>
      <c r="Y56" s="21" t="s">
        <v>463</v>
      </c>
      <c r="Z56" s="20">
        <v>0</v>
      </c>
      <c r="AA56" s="20">
        <f t="shared" si="12"/>
        <v>0</v>
      </c>
      <c r="AB56" s="20">
        <f t="shared" si="13"/>
        <v>0</v>
      </c>
      <c r="AC56" s="20">
        <f t="shared" si="14"/>
        <v>0</v>
      </c>
      <c r="AD56" s="20">
        <f t="shared" si="15"/>
        <v>0</v>
      </c>
      <c r="AE56" s="20">
        <f t="shared" si="16"/>
        <v>0</v>
      </c>
    </row>
    <row r="57" spans="1:31" s="21" customFormat="1" x14ac:dyDescent="0.25">
      <c r="B57" s="21" t="s">
        <v>464</v>
      </c>
      <c r="C57" s="20">
        <v>0</v>
      </c>
      <c r="D57" s="20">
        <v>0</v>
      </c>
      <c r="E57" s="20">
        <f t="shared" si="7"/>
        <v>0</v>
      </c>
      <c r="F57" s="20">
        <f t="shared" si="8"/>
        <v>0</v>
      </c>
      <c r="G57" s="20">
        <f t="shared" si="9"/>
        <v>0</v>
      </c>
      <c r="H57" s="20">
        <f t="shared" si="10"/>
        <v>0</v>
      </c>
      <c r="I57" s="20">
        <f t="shared" si="11"/>
        <v>0</v>
      </c>
      <c r="Q57" s="21" t="s">
        <v>464</v>
      </c>
      <c r="R57" s="20">
        <v>0</v>
      </c>
      <c r="S57" s="20">
        <f t="shared" si="2"/>
        <v>0</v>
      </c>
      <c r="T57" s="20">
        <f t="shared" si="3"/>
        <v>0</v>
      </c>
      <c r="U57" s="20">
        <f t="shared" si="4"/>
        <v>0</v>
      </c>
      <c r="V57" s="20">
        <f t="shared" si="5"/>
        <v>0</v>
      </c>
      <c r="W57" s="20">
        <f t="shared" si="6"/>
        <v>0</v>
      </c>
      <c r="Y57" s="21" t="s">
        <v>464</v>
      </c>
      <c r="Z57" s="20">
        <v>0</v>
      </c>
      <c r="AA57" s="20">
        <f t="shared" si="12"/>
        <v>0</v>
      </c>
      <c r="AB57" s="20">
        <f t="shared" si="13"/>
        <v>0</v>
      </c>
      <c r="AC57" s="20">
        <f t="shared" si="14"/>
        <v>0</v>
      </c>
      <c r="AD57" s="20">
        <f t="shared" si="15"/>
        <v>0</v>
      </c>
      <c r="AE57" s="20">
        <f t="shared" si="16"/>
        <v>0</v>
      </c>
    </row>
    <row r="58" spans="1:31" s="21" customFormat="1" x14ac:dyDescent="0.25"/>
    <row r="59" spans="1:31" s="21" customFormat="1" x14ac:dyDescent="0.25">
      <c r="B59" t="s">
        <v>365</v>
      </c>
      <c r="C59">
        <v>8</v>
      </c>
    </row>
    <row r="60" spans="1:31" s="21" customFormat="1" x14ac:dyDescent="0.25">
      <c r="B60" t="s">
        <v>364</v>
      </c>
      <c r="C60">
        <v>8.67</v>
      </c>
    </row>
    <row r="62" spans="1:31" x14ac:dyDescent="0.25">
      <c r="A62" s="2" t="s">
        <v>374</v>
      </c>
    </row>
    <row r="64" spans="1:31" x14ac:dyDescent="0.25">
      <c r="B64" s="15" t="s">
        <v>382</v>
      </c>
    </row>
    <row r="65" spans="2:9" x14ac:dyDescent="0.25">
      <c r="B65" s="15" t="s">
        <v>80</v>
      </c>
      <c r="C65" s="15" t="s">
        <v>385</v>
      </c>
      <c r="D65" t="s">
        <v>384</v>
      </c>
      <c r="E65" t="s">
        <v>383</v>
      </c>
    </row>
    <row r="66" spans="2:9" x14ac:dyDescent="0.25">
      <c r="B66" s="15" t="s">
        <v>137</v>
      </c>
      <c r="C66">
        <v>0.12</v>
      </c>
      <c r="D66">
        <v>0.15</v>
      </c>
      <c r="E66">
        <v>7.0000000000000007E-2</v>
      </c>
    </row>
    <row r="67" spans="2:9" x14ac:dyDescent="0.25">
      <c r="B67" t="s">
        <v>138</v>
      </c>
      <c r="C67">
        <v>0.26</v>
      </c>
      <c r="D67">
        <v>0.3</v>
      </c>
      <c r="E67">
        <v>0.22</v>
      </c>
    </row>
    <row r="68" spans="2:9" x14ac:dyDescent="0.25">
      <c r="B68" t="s">
        <v>139</v>
      </c>
      <c r="C68">
        <v>0.24</v>
      </c>
      <c r="D68">
        <v>0.27</v>
      </c>
      <c r="E68">
        <v>0.21</v>
      </c>
    </row>
    <row r="69" spans="2:9" x14ac:dyDescent="0.25">
      <c r="B69" t="s">
        <v>140</v>
      </c>
      <c r="C69">
        <v>0.19</v>
      </c>
      <c r="D69">
        <v>0.2</v>
      </c>
      <c r="E69">
        <v>0.18</v>
      </c>
    </row>
    <row r="70" spans="2:9" x14ac:dyDescent="0.25">
      <c r="B70" t="s">
        <v>141</v>
      </c>
      <c r="C70">
        <v>0.12</v>
      </c>
      <c r="D70">
        <v>0.12</v>
      </c>
      <c r="E70">
        <v>0.12</v>
      </c>
    </row>
    <row r="71" spans="2:9" x14ac:dyDescent="0.25">
      <c r="B71" t="s">
        <v>142</v>
      </c>
      <c r="C71">
        <v>0.06</v>
      </c>
      <c r="D71">
        <v>0.05</v>
      </c>
      <c r="E71">
        <v>0.06</v>
      </c>
    </row>
    <row r="72" spans="2:9" x14ac:dyDescent="0.25">
      <c r="B72" t="s">
        <v>143</v>
      </c>
      <c r="C72">
        <v>0.02</v>
      </c>
      <c r="D72">
        <v>0.01</v>
      </c>
      <c r="E72">
        <v>0.02</v>
      </c>
    </row>
    <row r="73" spans="2:9" x14ac:dyDescent="0.25">
      <c r="B73" t="s">
        <v>193</v>
      </c>
      <c r="C73">
        <v>5</v>
      </c>
      <c r="D73">
        <v>5.5</v>
      </c>
      <c r="E73">
        <v>4.4000000000000004</v>
      </c>
    </row>
    <row r="75" spans="2:9" x14ac:dyDescent="0.25">
      <c r="B75" t="s">
        <v>386</v>
      </c>
    </row>
    <row r="76" spans="2:9" x14ac:dyDescent="0.25">
      <c r="C76" t="s">
        <v>387</v>
      </c>
      <c r="G76" t="s">
        <v>376</v>
      </c>
    </row>
    <row r="77" spans="2:9" x14ac:dyDescent="0.25">
      <c r="C77">
        <v>1989</v>
      </c>
      <c r="D77">
        <v>1999</v>
      </c>
      <c r="E77">
        <v>2009</v>
      </c>
      <c r="G77">
        <v>1989</v>
      </c>
      <c r="H77">
        <v>2003</v>
      </c>
      <c r="I77">
        <v>2009</v>
      </c>
    </row>
    <row r="78" spans="2:9" x14ac:dyDescent="0.25">
      <c r="B78" t="s">
        <v>28</v>
      </c>
      <c r="C78">
        <v>6.6</v>
      </c>
      <c r="D78">
        <v>5</v>
      </c>
      <c r="E78">
        <v>4.4000000000000004</v>
      </c>
      <c r="G78">
        <v>4.7</v>
      </c>
      <c r="H78">
        <v>4.9000000000000004</v>
      </c>
      <c r="I78">
        <v>4.5999999999999996</v>
      </c>
    </row>
    <row r="79" spans="2:9" x14ac:dyDescent="0.25">
      <c r="B79" t="s">
        <v>158</v>
      </c>
      <c r="C79">
        <v>7</v>
      </c>
      <c r="D79">
        <v>5.5</v>
      </c>
      <c r="E79">
        <v>5</v>
      </c>
      <c r="G79">
        <v>5</v>
      </c>
      <c r="H79">
        <v>5.6</v>
      </c>
      <c r="I79">
        <v>5.4</v>
      </c>
    </row>
    <row r="81" spans="1:32" x14ac:dyDescent="0.25">
      <c r="A81" s="2" t="s">
        <v>632</v>
      </c>
    </row>
    <row r="82" spans="1:32" x14ac:dyDescent="0.25">
      <c r="B82" t="s">
        <v>633</v>
      </c>
    </row>
    <row r="84" spans="1:32" x14ac:dyDescent="0.25">
      <c r="A84" s="2" t="s">
        <v>636</v>
      </c>
    </row>
    <row r="85" spans="1:32" x14ac:dyDescent="0.25">
      <c r="B85" t="s">
        <v>634</v>
      </c>
    </row>
    <row r="86" spans="1:32" x14ac:dyDescent="0.25">
      <c r="B86" t="s">
        <v>635</v>
      </c>
    </row>
    <row r="88" spans="1:32" x14ac:dyDescent="0.25">
      <c r="A88" s="2" t="s">
        <v>637</v>
      </c>
    </row>
    <row r="89" spans="1:32" x14ac:dyDescent="0.25">
      <c r="B89" t="s">
        <v>638</v>
      </c>
    </row>
    <row r="91" spans="1:32" x14ac:dyDescent="0.25">
      <c r="A91" s="2" t="s">
        <v>1038</v>
      </c>
    </row>
    <row r="92" spans="1:32" x14ac:dyDescent="0.25">
      <c r="B92" t="s">
        <v>1070</v>
      </c>
    </row>
    <row r="93" spans="1:32" x14ac:dyDescent="0.25">
      <c r="B93" s="45" t="s">
        <v>1039</v>
      </c>
      <c r="C93" s="47" t="s">
        <v>1040</v>
      </c>
      <c r="D93" s="47" t="s">
        <v>1041</v>
      </c>
      <c r="E93" s="47" t="s">
        <v>1042</v>
      </c>
      <c r="F93" s="47" t="s">
        <v>1043</v>
      </c>
      <c r="G93" s="47" t="s">
        <v>1044</v>
      </c>
      <c r="H93" s="47" t="s">
        <v>1045</v>
      </c>
      <c r="I93" s="47" t="s">
        <v>1046</v>
      </c>
      <c r="J93" s="47" t="s">
        <v>1047</v>
      </c>
      <c r="K93" s="47" t="s">
        <v>1048</v>
      </c>
      <c r="L93" s="47" t="s">
        <v>1049</v>
      </c>
      <c r="M93" s="47" t="s">
        <v>1050</v>
      </c>
      <c r="N93" s="47" t="s">
        <v>1051</v>
      </c>
      <c r="O93" s="47" t="s">
        <v>1052</v>
      </c>
      <c r="P93" s="47" t="s">
        <v>1053</v>
      </c>
      <c r="Q93" s="47" t="s">
        <v>1054</v>
      </c>
      <c r="R93" s="47" t="s">
        <v>1055</v>
      </c>
      <c r="S93" s="47" t="s">
        <v>1056</v>
      </c>
      <c r="T93" s="47" t="s">
        <v>1057</v>
      </c>
      <c r="U93" s="47" t="s">
        <v>1058</v>
      </c>
      <c r="V93" s="47" t="s">
        <v>1059</v>
      </c>
      <c r="W93" s="47" t="s">
        <v>1060</v>
      </c>
      <c r="X93" s="47" t="s">
        <v>1061</v>
      </c>
      <c r="Y93" s="47" t="s">
        <v>1062</v>
      </c>
      <c r="Z93" s="47" t="s">
        <v>1063</v>
      </c>
      <c r="AA93" s="47" t="s">
        <v>1064</v>
      </c>
      <c r="AB93" s="47" t="s">
        <v>1065</v>
      </c>
      <c r="AC93" s="47" t="s">
        <v>1066</v>
      </c>
      <c r="AD93" s="47" t="s">
        <v>1067</v>
      </c>
      <c r="AE93" s="47" t="s">
        <v>1068</v>
      </c>
      <c r="AF93" s="47" t="s">
        <v>1069</v>
      </c>
    </row>
    <row r="94" spans="1:32" x14ac:dyDescent="0.25">
      <c r="B94" s="46" t="s">
        <v>137</v>
      </c>
      <c r="C94" s="48">
        <v>169.071</v>
      </c>
      <c r="D94" s="48">
        <v>175.941</v>
      </c>
      <c r="E94" s="48">
        <v>182.26900000000001</v>
      </c>
      <c r="F94" s="48">
        <v>183.286</v>
      </c>
      <c r="G94" s="48">
        <v>180.57400000000001</v>
      </c>
      <c r="H94" s="48">
        <v>172.66399999999999</v>
      </c>
      <c r="I94" s="48">
        <v>163.08199999999999</v>
      </c>
      <c r="J94" s="48">
        <v>147.75899999999999</v>
      </c>
      <c r="K94" s="48">
        <v>115.26</v>
      </c>
      <c r="L94" s="48">
        <v>111.494</v>
      </c>
      <c r="M94" s="48">
        <v>104.2</v>
      </c>
      <c r="N94" s="48">
        <v>97.091999999999999</v>
      </c>
      <c r="O94" s="48">
        <v>86.153000000000006</v>
      </c>
      <c r="P94" s="48">
        <v>75.078000000000003</v>
      </c>
      <c r="Q94" s="48">
        <v>69.908000000000001</v>
      </c>
      <c r="R94" s="48">
        <v>65.022000000000006</v>
      </c>
      <c r="S94" s="48">
        <v>60.552999999999997</v>
      </c>
      <c r="T94" s="48">
        <v>56.177</v>
      </c>
      <c r="U94" s="48">
        <v>52.183</v>
      </c>
      <c r="V94" s="48">
        <v>48.268000000000001</v>
      </c>
      <c r="W94" s="48">
        <v>44.52</v>
      </c>
      <c r="X94" s="48">
        <v>40.801000000000002</v>
      </c>
      <c r="Y94" s="48">
        <v>37.277000000000001</v>
      </c>
      <c r="Z94" s="48">
        <v>33.844999999999999</v>
      </c>
      <c r="AA94" s="48">
        <v>30.599</v>
      </c>
      <c r="AB94" s="48">
        <v>27.539000000000001</v>
      </c>
      <c r="AC94" s="48">
        <v>24.655000000000001</v>
      </c>
      <c r="AD94" s="48">
        <v>22.006</v>
      </c>
      <c r="AE94" s="48">
        <v>19.544</v>
      </c>
      <c r="AF94" s="48">
        <v>17.234999999999999</v>
      </c>
    </row>
    <row r="95" spans="1:32" x14ac:dyDescent="0.25">
      <c r="B95" s="46" t="s">
        <v>138</v>
      </c>
      <c r="C95" s="48">
        <v>351.60700000000003</v>
      </c>
      <c r="D95" s="48">
        <v>365.89499999999998</v>
      </c>
      <c r="E95" s="48">
        <v>379.05500000000001</v>
      </c>
      <c r="F95" s="48">
        <v>381.17</v>
      </c>
      <c r="G95" s="48">
        <v>375.53</v>
      </c>
      <c r="H95" s="48">
        <v>359.08</v>
      </c>
      <c r="I95" s="48">
        <v>339.15199999999999</v>
      </c>
      <c r="J95" s="48">
        <v>307.286</v>
      </c>
      <c r="K95" s="48">
        <v>268.94</v>
      </c>
      <c r="L95" s="48">
        <v>260.65199999999999</v>
      </c>
      <c r="M95" s="48">
        <v>243.6</v>
      </c>
      <c r="N95" s="48">
        <v>227.10599999999999</v>
      </c>
      <c r="O95" s="48">
        <v>201.94499999999999</v>
      </c>
      <c r="P95" s="48">
        <v>176.53700000000001</v>
      </c>
      <c r="Q95" s="48">
        <v>165.084</v>
      </c>
      <c r="R95" s="48">
        <v>154.726</v>
      </c>
      <c r="S95" s="48">
        <v>145.71299999999999</v>
      </c>
      <c r="T95" s="48">
        <v>137.16499999999999</v>
      </c>
      <c r="U95" s="48">
        <v>129.738</v>
      </c>
      <c r="V95" s="48">
        <v>122.61199999999999</v>
      </c>
      <c r="W95" s="48">
        <v>115.96899999999999</v>
      </c>
      <c r="X95" s="48">
        <v>109.38</v>
      </c>
      <c r="Y95" s="48">
        <v>103.21299999999999</v>
      </c>
      <c r="Z95" s="48">
        <v>97.149000000000001</v>
      </c>
      <c r="AA95" s="48">
        <v>91.388000000000005</v>
      </c>
      <c r="AB95" s="48">
        <v>85.896000000000001</v>
      </c>
      <c r="AC95" s="48">
        <v>80.599000000000004</v>
      </c>
      <c r="AD95" s="48">
        <v>75.680999999999997</v>
      </c>
      <c r="AE95" s="48">
        <v>70.977999999999994</v>
      </c>
      <c r="AF95" s="48">
        <v>66.334999999999994</v>
      </c>
    </row>
    <row r="96" spans="1:32" x14ac:dyDescent="0.25">
      <c r="B96" s="46" t="s">
        <v>139</v>
      </c>
      <c r="C96" s="48">
        <v>338.14100000000002</v>
      </c>
      <c r="D96" s="48">
        <v>351.88200000000001</v>
      </c>
      <c r="E96" s="48">
        <v>364.53800000000001</v>
      </c>
      <c r="F96" s="48">
        <v>366.572</v>
      </c>
      <c r="G96" s="48">
        <v>361.14800000000002</v>
      </c>
      <c r="H96" s="48">
        <v>345.32799999999997</v>
      </c>
      <c r="I96" s="48">
        <v>326.16300000000001</v>
      </c>
      <c r="J96" s="48">
        <v>295.517</v>
      </c>
      <c r="K96" s="48">
        <v>251.99</v>
      </c>
      <c r="L96" s="48">
        <v>253.26900000000001</v>
      </c>
      <c r="M96" s="48">
        <v>236.7</v>
      </c>
      <c r="N96" s="48">
        <v>221.43299999999999</v>
      </c>
      <c r="O96" s="48">
        <v>202.35</v>
      </c>
      <c r="P96" s="48">
        <v>179.768</v>
      </c>
      <c r="Q96" s="48">
        <v>171.83699999999999</v>
      </c>
      <c r="R96" s="48">
        <v>164.82400000000001</v>
      </c>
      <c r="S96" s="48">
        <v>159.05699999999999</v>
      </c>
      <c r="T96" s="48">
        <v>153.62100000000001</v>
      </c>
      <c r="U96" s="48">
        <v>149.28700000000001</v>
      </c>
      <c r="V96" s="48">
        <v>145.18</v>
      </c>
      <c r="W96" s="48">
        <v>141.511</v>
      </c>
      <c r="X96" s="48">
        <v>137.78299999999999</v>
      </c>
      <c r="Y96" s="48">
        <v>134.44999999999999</v>
      </c>
      <c r="Z96" s="48">
        <v>131.119</v>
      </c>
      <c r="AA96" s="48">
        <v>128.054</v>
      </c>
      <c r="AB96" s="48">
        <v>125.217</v>
      </c>
      <c r="AC96" s="48">
        <v>122.514</v>
      </c>
      <c r="AD96" s="48">
        <v>120.251</v>
      </c>
      <c r="AE96" s="48">
        <v>118.178</v>
      </c>
      <c r="AF96" s="48">
        <v>116.047</v>
      </c>
    </row>
    <row r="97" spans="2:32" x14ac:dyDescent="0.25">
      <c r="B97" s="46" t="s">
        <v>140</v>
      </c>
      <c r="C97" s="48">
        <v>284.27800000000002</v>
      </c>
      <c r="D97" s="48">
        <v>295.83</v>
      </c>
      <c r="E97" s="48">
        <v>306.47000000000003</v>
      </c>
      <c r="F97" s="48">
        <v>308.18</v>
      </c>
      <c r="G97" s="48">
        <v>303.62</v>
      </c>
      <c r="H97" s="48">
        <v>290.32</v>
      </c>
      <c r="I97" s="48">
        <v>274.20800000000003</v>
      </c>
      <c r="J97" s="48">
        <v>248.44399999999999</v>
      </c>
      <c r="K97" s="48">
        <v>206.79</v>
      </c>
      <c r="L97" s="48">
        <v>196.238</v>
      </c>
      <c r="M97" s="48">
        <v>183.4</v>
      </c>
      <c r="N97" s="48">
        <v>170.56200000000001</v>
      </c>
      <c r="O97" s="48">
        <v>149.16399999999999</v>
      </c>
      <c r="P97" s="48">
        <v>129.59200000000001</v>
      </c>
      <c r="Q97" s="48">
        <v>120.236</v>
      </c>
      <c r="R97" s="48">
        <v>112.6</v>
      </c>
      <c r="S97" s="48">
        <v>106.702</v>
      </c>
      <c r="T97" s="48">
        <v>101.782</v>
      </c>
      <c r="U97" s="48">
        <v>98.244</v>
      </c>
      <c r="V97" s="48">
        <v>95.421000000000006</v>
      </c>
      <c r="W97" s="48">
        <v>93.405000000000001</v>
      </c>
      <c r="X97" s="48">
        <v>91.822999999999993</v>
      </c>
      <c r="Y97" s="48">
        <v>90.944999999999993</v>
      </c>
      <c r="Z97" s="48">
        <v>90.488</v>
      </c>
      <c r="AA97" s="48">
        <v>90.611000000000004</v>
      </c>
      <c r="AB97" s="48">
        <v>91.287999999999997</v>
      </c>
      <c r="AC97" s="48">
        <v>92.462000000000003</v>
      </c>
      <c r="AD97" s="48">
        <v>94.373000000000005</v>
      </c>
      <c r="AE97" s="48">
        <v>96.867000000000004</v>
      </c>
      <c r="AF97" s="48">
        <v>99.762</v>
      </c>
    </row>
    <row r="98" spans="2:32" x14ac:dyDescent="0.25">
      <c r="B98" s="46" t="s">
        <v>141</v>
      </c>
      <c r="C98" s="48">
        <v>203.483</v>
      </c>
      <c r="D98" s="48">
        <v>211.75200000000001</v>
      </c>
      <c r="E98" s="48">
        <v>219.36799999999999</v>
      </c>
      <c r="F98" s="48">
        <v>220.59200000000001</v>
      </c>
      <c r="G98" s="48">
        <v>217.328</v>
      </c>
      <c r="H98" s="48">
        <v>207.80799999999999</v>
      </c>
      <c r="I98" s="48">
        <v>196.27500000000001</v>
      </c>
      <c r="J98" s="48">
        <v>177.834</v>
      </c>
      <c r="K98" s="48">
        <v>161.59</v>
      </c>
      <c r="L98" s="48">
        <v>143.273</v>
      </c>
      <c r="M98" s="48">
        <v>133.9</v>
      </c>
      <c r="N98" s="48">
        <v>123.69</v>
      </c>
      <c r="O98" s="48">
        <v>102.069</v>
      </c>
      <c r="P98" s="48">
        <v>85.85</v>
      </c>
      <c r="Q98" s="48">
        <v>76.216999999999999</v>
      </c>
      <c r="R98" s="48">
        <v>68.501999999999995</v>
      </c>
      <c r="S98" s="48">
        <v>62.488</v>
      </c>
      <c r="T98" s="48">
        <v>57.558999999999997</v>
      </c>
      <c r="U98" s="48">
        <v>53.819000000000003</v>
      </c>
      <c r="V98" s="48">
        <v>50.801000000000002</v>
      </c>
      <c r="W98" s="48">
        <v>48.494</v>
      </c>
      <c r="X98" s="48">
        <v>46.64</v>
      </c>
      <c r="Y98" s="48">
        <v>45.348999999999997</v>
      </c>
      <c r="Z98" s="48">
        <v>44.445999999999998</v>
      </c>
      <c r="AA98" s="48">
        <v>43.994999999999997</v>
      </c>
      <c r="AB98" s="48">
        <v>43.973999999999997</v>
      </c>
      <c r="AC98" s="48">
        <v>44.338000000000001</v>
      </c>
      <c r="AD98" s="48">
        <v>45.216000000000001</v>
      </c>
      <c r="AE98" s="48">
        <v>46.536999999999999</v>
      </c>
      <c r="AF98" s="48">
        <v>48.232999999999997</v>
      </c>
    </row>
    <row r="99" spans="2:32" x14ac:dyDescent="0.25">
      <c r="B99" s="46" t="s">
        <v>142</v>
      </c>
      <c r="C99" s="48">
        <v>110.71899999999999</v>
      </c>
      <c r="D99" s="48">
        <v>115.218</v>
      </c>
      <c r="E99" s="48">
        <v>119.36199999999999</v>
      </c>
      <c r="F99" s="48">
        <v>120.02800000000001</v>
      </c>
      <c r="G99" s="48">
        <v>118.252</v>
      </c>
      <c r="H99" s="48">
        <v>113.072</v>
      </c>
      <c r="I99" s="48">
        <v>106.797</v>
      </c>
      <c r="J99" s="48">
        <v>96.762</v>
      </c>
      <c r="K99" s="48">
        <v>73.45</v>
      </c>
      <c r="L99" s="48">
        <v>62.381</v>
      </c>
      <c r="M99" s="48">
        <v>58.3</v>
      </c>
      <c r="N99" s="48">
        <v>53.567999999999998</v>
      </c>
      <c r="O99" s="48">
        <v>42.386000000000003</v>
      </c>
      <c r="P99" s="48">
        <v>34.78</v>
      </c>
      <c r="Q99" s="48">
        <v>29.864000000000001</v>
      </c>
      <c r="R99" s="48">
        <v>25.962</v>
      </c>
      <c r="S99" s="48">
        <v>22.911000000000001</v>
      </c>
      <c r="T99" s="48">
        <v>20.411999999999999</v>
      </c>
      <c r="U99" s="48">
        <v>18.466000000000001</v>
      </c>
      <c r="V99" s="48">
        <v>16.864000000000001</v>
      </c>
      <c r="W99" s="48">
        <v>15.573</v>
      </c>
      <c r="X99" s="48">
        <v>14.496</v>
      </c>
      <c r="Y99" s="48">
        <v>13.64</v>
      </c>
      <c r="Z99" s="48">
        <v>12.938000000000001</v>
      </c>
      <c r="AA99" s="48">
        <v>12.398</v>
      </c>
      <c r="AB99" s="48">
        <v>11.999000000000001</v>
      </c>
      <c r="AC99" s="48">
        <v>11.718999999999999</v>
      </c>
      <c r="AD99" s="48">
        <v>11.583</v>
      </c>
      <c r="AE99" s="48">
        <v>11.557</v>
      </c>
      <c r="AF99" s="48">
        <v>11.621</v>
      </c>
    </row>
    <row r="100" spans="2:32" x14ac:dyDescent="0.25">
      <c r="B100" s="46" t="s">
        <v>143</v>
      </c>
      <c r="C100" s="48">
        <v>38.901000000000003</v>
      </c>
      <c r="D100" s="48">
        <v>40.481999999999999</v>
      </c>
      <c r="E100" s="48">
        <v>41.938000000000002</v>
      </c>
      <c r="F100" s="48">
        <v>42.171999999999997</v>
      </c>
      <c r="G100" s="48">
        <v>41.548000000000002</v>
      </c>
      <c r="H100" s="48">
        <v>39.728000000000002</v>
      </c>
      <c r="I100" s="48">
        <v>37.523000000000003</v>
      </c>
      <c r="J100" s="48">
        <v>33.997999999999998</v>
      </c>
      <c r="K100" s="48">
        <v>51.98</v>
      </c>
      <c r="L100" s="48">
        <v>42.692999999999998</v>
      </c>
      <c r="M100" s="48">
        <v>39.9</v>
      </c>
      <c r="N100" s="48">
        <v>36.548999999999999</v>
      </c>
      <c r="O100" s="48">
        <v>27.933</v>
      </c>
      <c r="P100" s="48">
        <v>22.395</v>
      </c>
      <c r="Q100" s="48">
        <v>18.614000000000001</v>
      </c>
      <c r="R100" s="48">
        <v>15.544</v>
      </c>
      <c r="S100" s="48">
        <v>13.076000000000001</v>
      </c>
      <c r="T100" s="48">
        <v>11.023999999999999</v>
      </c>
      <c r="U100" s="48">
        <v>9.3629999999999995</v>
      </c>
      <c r="V100" s="48">
        <v>7.9740000000000002</v>
      </c>
      <c r="W100" s="48">
        <v>6.8079999999999998</v>
      </c>
      <c r="X100" s="48">
        <v>5.8170000000000002</v>
      </c>
      <c r="Y100" s="48">
        <v>4.9859999999999998</v>
      </c>
      <c r="Z100" s="48">
        <v>4.2750000000000004</v>
      </c>
      <c r="AA100" s="48">
        <v>3.6749999999999998</v>
      </c>
      <c r="AB100" s="48">
        <v>3.1669999999999998</v>
      </c>
      <c r="AC100" s="48">
        <v>2.7330000000000001</v>
      </c>
      <c r="AD100" s="48">
        <v>2.37</v>
      </c>
      <c r="AE100" s="48">
        <v>2.0590000000000002</v>
      </c>
      <c r="AF100" s="48">
        <v>1.7869999999999999</v>
      </c>
    </row>
    <row r="101" spans="2:32" x14ac:dyDescent="0.25">
      <c r="B101" s="52" t="s">
        <v>193</v>
      </c>
      <c r="C101">
        <f>5*SUM(C94:C100)/1000</f>
        <v>7.4809999999999999</v>
      </c>
      <c r="D101" s="37">
        <f t="shared" ref="D101:AF101" si="18">5*SUM(D94:D100)/1000</f>
        <v>7.7850000000000001</v>
      </c>
      <c r="E101" s="37">
        <f t="shared" si="18"/>
        <v>8.0650000000000013</v>
      </c>
      <c r="F101" s="37">
        <f t="shared" si="18"/>
        <v>8.1100000000000012</v>
      </c>
      <c r="G101" s="37">
        <f t="shared" si="18"/>
        <v>7.99</v>
      </c>
      <c r="H101" s="37">
        <f t="shared" si="18"/>
        <v>7.64</v>
      </c>
      <c r="I101" s="37">
        <f t="shared" si="18"/>
        <v>7.2160000000000002</v>
      </c>
      <c r="J101" s="37">
        <f t="shared" si="18"/>
        <v>6.5380000000000003</v>
      </c>
      <c r="K101" s="37">
        <f t="shared" si="18"/>
        <v>5.65</v>
      </c>
      <c r="L101" s="37">
        <f t="shared" si="18"/>
        <v>5.35</v>
      </c>
      <c r="M101" s="37">
        <f t="shared" si="18"/>
        <v>4.9999999999999991</v>
      </c>
      <c r="N101" s="37">
        <f t="shared" si="18"/>
        <v>4.6500000000000004</v>
      </c>
      <c r="O101" s="37">
        <f t="shared" si="18"/>
        <v>4.0599999999999996</v>
      </c>
      <c r="P101" s="37">
        <f t="shared" si="18"/>
        <v>3.52</v>
      </c>
      <c r="Q101" s="37">
        <f t="shared" si="18"/>
        <v>3.2588000000000008</v>
      </c>
      <c r="R101" s="37">
        <f t="shared" si="18"/>
        <v>3.0358999999999998</v>
      </c>
      <c r="S101" s="37">
        <f t="shared" si="18"/>
        <v>2.8525</v>
      </c>
      <c r="T101" s="37">
        <f t="shared" si="18"/>
        <v>2.6886999999999999</v>
      </c>
      <c r="U101" s="37">
        <f t="shared" si="18"/>
        <v>2.5554999999999999</v>
      </c>
      <c r="V101" s="37">
        <f t="shared" si="18"/>
        <v>2.4356</v>
      </c>
      <c r="W101" s="37">
        <f t="shared" si="18"/>
        <v>2.3313999999999995</v>
      </c>
      <c r="X101" s="37">
        <f t="shared" si="18"/>
        <v>2.2336999999999994</v>
      </c>
      <c r="Y101" s="37">
        <f t="shared" si="18"/>
        <v>2.1492999999999998</v>
      </c>
      <c r="Z101" s="37">
        <f t="shared" si="18"/>
        <v>2.0713000000000004</v>
      </c>
      <c r="AA101" s="37">
        <f t="shared" si="18"/>
        <v>2.0036</v>
      </c>
      <c r="AB101" s="37">
        <f t="shared" si="18"/>
        <v>1.9453999999999998</v>
      </c>
      <c r="AC101" s="37">
        <f t="shared" si="18"/>
        <v>1.8951000000000002</v>
      </c>
      <c r="AD101" s="37">
        <f t="shared" si="18"/>
        <v>1.8574000000000002</v>
      </c>
      <c r="AE101" s="37">
        <f t="shared" si="18"/>
        <v>1.8286000000000002</v>
      </c>
      <c r="AF101" s="37">
        <f t="shared" si="18"/>
        <v>1.8050999999999999</v>
      </c>
    </row>
    <row r="102" spans="2:32" x14ac:dyDescent="0.25">
      <c r="B102" s="37" t="s">
        <v>1081</v>
      </c>
      <c r="C102" s="37"/>
      <c r="D102" s="37"/>
      <c r="E102" s="37"/>
      <c r="F102" s="37"/>
      <c r="G102" s="37"/>
      <c r="H102" s="37"/>
      <c r="I102" s="37"/>
    </row>
    <row r="103" spans="2:32" x14ac:dyDescent="0.25">
      <c r="B103" s="37" t="s">
        <v>80</v>
      </c>
      <c r="C103" s="37" t="s">
        <v>339</v>
      </c>
      <c r="D103" s="37" t="s">
        <v>1073</v>
      </c>
      <c r="E103" s="37" t="s">
        <v>452</v>
      </c>
      <c r="F103" s="37" t="s">
        <v>453</v>
      </c>
      <c r="G103" s="37" t="s">
        <v>454</v>
      </c>
      <c r="H103" s="37" t="s">
        <v>455</v>
      </c>
      <c r="I103" s="37" t="s">
        <v>456</v>
      </c>
      <c r="J103" t="s">
        <v>1296</v>
      </c>
    </row>
    <row r="104" spans="2:32" x14ac:dyDescent="0.25">
      <c r="B104" s="37" t="s">
        <v>458</v>
      </c>
      <c r="C104" s="20">
        <v>0</v>
      </c>
      <c r="D104" s="20">
        <v>0</v>
      </c>
      <c r="E104" s="20">
        <f>D104*K$52</f>
        <v>0</v>
      </c>
      <c r="F104" s="20">
        <f>D104*L$52</f>
        <v>0</v>
      </c>
      <c r="G104" s="20">
        <f>D104*M$52</f>
        <v>0</v>
      </c>
      <c r="H104" s="20">
        <f>D104*N$52</f>
        <v>0</v>
      </c>
      <c r="I104" s="20">
        <f>D104*O$52</f>
        <v>0</v>
      </c>
      <c r="J104" s="20">
        <f>E104*P$52</f>
        <v>0</v>
      </c>
    </row>
    <row r="105" spans="2:32" x14ac:dyDescent="0.25">
      <c r="B105" s="22" t="s">
        <v>459</v>
      </c>
      <c r="C105" s="20">
        <v>0</v>
      </c>
      <c r="D105" s="20">
        <v>0</v>
      </c>
      <c r="E105" s="20">
        <f t="shared" ref="E105:E119" si="19">D105*K$52</f>
        <v>0</v>
      </c>
      <c r="F105" s="20">
        <f t="shared" ref="F105:F119" si="20">D105*L$52</f>
        <v>0</v>
      </c>
      <c r="G105" s="20">
        <f t="shared" ref="G105:G119" si="21">D105*M$52</f>
        <v>0</v>
      </c>
      <c r="H105" s="20">
        <f t="shared" ref="H105:H119" si="22">D105*N$52</f>
        <v>0</v>
      </c>
      <c r="I105" s="20">
        <f t="shared" ref="I105:J119" si="23">D105*O$52</f>
        <v>0</v>
      </c>
      <c r="J105" s="20">
        <f t="shared" si="23"/>
        <v>0</v>
      </c>
    </row>
    <row r="106" spans="2:32" x14ac:dyDescent="0.25">
      <c r="B106" s="22" t="s">
        <v>338</v>
      </c>
      <c r="C106" s="37">
        <v>0</v>
      </c>
      <c r="D106" s="37">
        <f t="shared" ref="D106:D113" si="24">C106/1000</f>
        <v>0</v>
      </c>
      <c r="E106" s="20">
        <f t="shared" si="19"/>
        <v>0</v>
      </c>
      <c r="F106" s="20">
        <f t="shared" si="20"/>
        <v>0</v>
      </c>
      <c r="G106" s="20">
        <f t="shared" si="21"/>
        <v>0</v>
      </c>
      <c r="H106" s="20">
        <f t="shared" si="22"/>
        <v>0</v>
      </c>
      <c r="I106" s="20">
        <f t="shared" si="23"/>
        <v>0</v>
      </c>
      <c r="J106" s="20">
        <f t="shared" si="23"/>
        <v>0</v>
      </c>
      <c r="W106">
        <f>(F96-K96)/K96</f>
        <v>0.45470852017937213</v>
      </c>
    </row>
    <row r="107" spans="2:32" x14ac:dyDescent="0.25">
      <c r="B107" s="22" t="s">
        <v>137</v>
      </c>
      <c r="C107" s="48">
        <v>182.26900000000001</v>
      </c>
      <c r="D107" s="51">
        <f>C107/1000</f>
        <v>0.18226900000000001</v>
      </c>
      <c r="E107" s="20">
        <f t="shared" si="19"/>
        <v>0.18226900000000001</v>
      </c>
      <c r="F107" s="20">
        <f t="shared" si="20"/>
        <v>0.18226900000000001</v>
      </c>
      <c r="G107" s="20">
        <f t="shared" si="21"/>
        <v>0.10571602000000001</v>
      </c>
      <c r="H107" s="20">
        <f t="shared" si="22"/>
        <v>0.10571602000000001</v>
      </c>
      <c r="I107" s="20">
        <f t="shared" si="23"/>
        <v>7.4730290000000005E-2</v>
      </c>
      <c r="J107">
        <v>0</v>
      </c>
      <c r="W107">
        <f>K96/F96</f>
        <v>0.68742293464858206</v>
      </c>
    </row>
    <row r="108" spans="2:32" x14ac:dyDescent="0.25">
      <c r="B108" s="37" t="s">
        <v>138</v>
      </c>
      <c r="C108" s="48">
        <v>379.05500000000001</v>
      </c>
      <c r="D108" s="51">
        <f t="shared" si="24"/>
        <v>0.37905500000000003</v>
      </c>
      <c r="E108" s="20">
        <f t="shared" si="19"/>
        <v>0.37905500000000003</v>
      </c>
      <c r="F108" s="20">
        <f t="shared" si="20"/>
        <v>0.37905500000000003</v>
      </c>
      <c r="G108" s="20">
        <f t="shared" si="21"/>
        <v>0.21985189999999999</v>
      </c>
      <c r="H108" s="20">
        <f t="shared" si="22"/>
        <v>0.21985189999999999</v>
      </c>
      <c r="I108" s="20">
        <f t="shared" si="23"/>
        <v>0.15541255000000001</v>
      </c>
      <c r="J108">
        <v>0</v>
      </c>
    </row>
    <row r="109" spans="2:32" x14ac:dyDescent="0.25">
      <c r="B109" s="37" t="s">
        <v>139</v>
      </c>
      <c r="C109" s="48">
        <v>364.53800000000001</v>
      </c>
      <c r="D109" s="51">
        <f t="shared" si="24"/>
        <v>0.36453800000000003</v>
      </c>
      <c r="E109" s="20">
        <f t="shared" si="19"/>
        <v>0.36453800000000003</v>
      </c>
      <c r="F109" s="20">
        <f t="shared" si="20"/>
        <v>0.36453800000000003</v>
      </c>
      <c r="G109" s="20">
        <f t="shared" si="21"/>
        <v>0.21143204000000002</v>
      </c>
      <c r="H109" s="20">
        <f t="shared" si="22"/>
        <v>0.21143204000000002</v>
      </c>
      <c r="I109" s="20">
        <f t="shared" si="23"/>
        <v>0.14946058000000001</v>
      </c>
      <c r="J109">
        <v>0</v>
      </c>
    </row>
    <row r="110" spans="2:32" x14ac:dyDescent="0.25">
      <c r="B110" s="37" t="s">
        <v>140</v>
      </c>
      <c r="C110" s="48">
        <v>306.47000000000003</v>
      </c>
      <c r="D110" s="51">
        <f t="shared" si="24"/>
        <v>0.30647000000000002</v>
      </c>
      <c r="E110" s="20">
        <f t="shared" si="19"/>
        <v>0.30647000000000002</v>
      </c>
      <c r="F110" s="20">
        <f t="shared" si="20"/>
        <v>0.30647000000000002</v>
      </c>
      <c r="G110" s="20">
        <f t="shared" si="21"/>
        <v>0.17775260000000001</v>
      </c>
      <c r="H110" s="20">
        <f t="shared" si="22"/>
        <v>0.17775260000000001</v>
      </c>
      <c r="I110" s="20">
        <f t="shared" si="23"/>
        <v>0.12565270000000001</v>
      </c>
      <c r="J110">
        <v>0</v>
      </c>
      <c r="AE110">
        <f>1-0.335</f>
        <v>0.66500000000000004</v>
      </c>
    </row>
    <row r="111" spans="2:32" x14ac:dyDescent="0.25">
      <c r="B111" s="37" t="s">
        <v>141</v>
      </c>
      <c r="C111" s="48">
        <v>219.36799999999999</v>
      </c>
      <c r="D111" s="51">
        <f t="shared" si="24"/>
        <v>0.21936800000000001</v>
      </c>
      <c r="E111" s="20">
        <f t="shared" si="19"/>
        <v>0.21936800000000001</v>
      </c>
      <c r="F111" s="20">
        <f t="shared" si="20"/>
        <v>0.21936800000000001</v>
      </c>
      <c r="G111" s="20">
        <f t="shared" si="21"/>
        <v>0.12723344</v>
      </c>
      <c r="H111" s="20">
        <f t="shared" si="22"/>
        <v>0.12723344</v>
      </c>
      <c r="I111" s="20">
        <f t="shared" si="23"/>
        <v>8.9940880000000001E-2</v>
      </c>
      <c r="J111">
        <v>0</v>
      </c>
    </row>
    <row r="112" spans="2:32" x14ac:dyDescent="0.25">
      <c r="B112" s="37" t="s">
        <v>142</v>
      </c>
      <c r="C112" s="48">
        <v>119.36199999999999</v>
      </c>
      <c r="D112" s="51">
        <f t="shared" si="24"/>
        <v>0.119362</v>
      </c>
      <c r="E112" s="20">
        <f t="shared" si="19"/>
        <v>0.119362</v>
      </c>
      <c r="F112" s="20">
        <f t="shared" si="20"/>
        <v>0.119362</v>
      </c>
      <c r="G112" s="20">
        <f t="shared" si="21"/>
        <v>6.9229959999999993E-2</v>
      </c>
      <c r="H112" s="20">
        <f t="shared" si="22"/>
        <v>6.9229959999999993E-2</v>
      </c>
      <c r="I112" s="20">
        <f t="shared" si="23"/>
        <v>4.8938419999999996E-2</v>
      </c>
      <c r="J112">
        <v>0</v>
      </c>
      <c r="AE112">
        <f>1-0.4249</f>
        <v>0.57509999999999994</v>
      </c>
    </row>
    <row r="113" spans="2:11" x14ac:dyDescent="0.25">
      <c r="B113" s="37" t="s">
        <v>143</v>
      </c>
      <c r="C113" s="48">
        <v>41.938000000000002</v>
      </c>
      <c r="D113" s="51">
        <f t="shared" si="24"/>
        <v>4.1938000000000003E-2</v>
      </c>
      <c r="E113" s="20">
        <f t="shared" si="19"/>
        <v>4.1938000000000003E-2</v>
      </c>
      <c r="F113" s="20">
        <f t="shared" si="20"/>
        <v>4.1938000000000003E-2</v>
      </c>
      <c r="G113" s="20">
        <f t="shared" si="21"/>
        <v>2.4324040000000002E-2</v>
      </c>
      <c r="H113" s="20">
        <f t="shared" si="22"/>
        <v>2.4324040000000002E-2</v>
      </c>
      <c r="I113" s="20">
        <f t="shared" si="23"/>
        <v>1.7194580000000001E-2</v>
      </c>
      <c r="J113">
        <v>0</v>
      </c>
    </row>
    <row r="114" spans="2:11" x14ac:dyDescent="0.25">
      <c r="B114" s="37" t="s">
        <v>460</v>
      </c>
      <c r="C114" s="20">
        <v>0</v>
      </c>
      <c r="D114" s="20">
        <v>0</v>
      </c>
      <c r="E114" s="20">
        <f t="shared" si="19"/>
        <v>0</v>
      </c>
      <c r="F114" s="20">
        <f t="shared" si="20"/>
        <v>0</v>
      </c>
      <c r="G114" s="20">
        <f t="shared" si="21"/>
        <v>0</v>
      </c>
      <c r="H114" s="20">
        <f t="shared" si="22"/>
        <v>0</v>
      </c>
      <c r="I114" s="20">
        <f t="shared" si="23"/>
        <v>0</v>
      </c>
      <c r="J114">
        <v>0</v>
      </c>
    </row>
    <row r="115" spans="2:11" x14ac:dyDescent="0.25">
      <c r="B115" s="37" t="s">
        <v>461</v>
      </c>
      <c r="C115" s="20">
        <v>0</v>
      </c>
      <c r="D115" s="20">
        <v>0</v>
      </c>
      <c r="E115" s="20">
        <f t="shared" si="19"/>
        <v>0</v>
      </c>
      <c r="F115" s="20">
        <f t="shared" si="20"/>
        <v>0</v>
      </c>
      <c r="G115" s="20">
        <f t="shared" si="21"/>
        <v>0</v>
      </c>
      <c r="H115" s="20">
        <f t="shared" si="22"/>
        <v>0</v>
      </c>
      <c r="I115" s="20">
        <f t="shared" si="23"/>
        <v>0</v>
      </c>
      <c r="J115">
        <v>0</v>
      </c>
    </row>
    <row r="116" spans="2:11" x14ac:dyDescent="0.25">
      <c r="B116" s="37" t="s">
        <v>324</v>
      </c>
      <c r="C116" s="20">
        <v>0</v>
      </c>
      <c r="D116" s="20">
        <v>0</v>
      </c>
      <c r="E116" s="20">
        <f t="shared" si="19"/>
        <v>0</v>
      </c>
      <c r="F116" s="20">
        <f t="shared" si="20"/>
        <v>0</v>
      </c>
      <c r="G116" s="20">
        <f t="shared" si="21"/>
        <v>0</v>
      </c>
      <c r="H116" s="20">
        <f t="shared" si="22"/>
        <v>0</v>
      </c>
      <c r="I116" s="20">
        <f t="shared" si="23"/>
        <v>0</v>
      </c>
      <c r="J116">
        <v>0</v>
      </c>
    </row>
    <row r="117" spans="2:11" x14ac:dyDescent="0.25">
      <c r="B117" s="37" t="s">
        <v>462</v>
      </c>
      <c r="C117" s="20">
        <v>0</v>
      </c>
      <c r="D117" s="20">
        <v>0</v>
      </c>
      <c r="E117" s="20">
        <f t="shared" si="19"/>
        <v>0</v>
      </c>
      <c r="F117" s="20">
        <f t="shared" si="20"/>
        <v>0</v>
      </c>
      <c r="G117" s="20">
        <f t="shared" si="21"/>
        <v>0</v>
      </c>
      <c r="H117" s="20">
        <f t="shared" si="22"/>
        <v>0</v>
      </c>
      <c r="I117" s="20">
        <f t="shared" si="23"/>
        <v>0</v>
      </c>
      <c r="J117">
        <v>0</v>
      </c>
    </row>
    <row r="118" spans="2:11" x14ac:dyDescent="0.25">
      <c r="B118" s="37" t="s">
        <v>463</v>
      </c>
      <c r="C118" s="20">
        <v>0</v>
      </c>
      <c r="D118" s="20">
        <v>0</v>
      </c>
      <c r="E118" s="20">
        <f t="shared" si="19"/>
        <v>0</v>
      </c>
      <c r="F118" s="20">
        <f t="shared" si="20"/>
        <v>0</v>
      </c>
      <c r="G118" s="20">
        <f t="shared" si="21"/>
        <v>0</v>
      </c>
      <c r="H118" s="20">
        <f t="shared" si="22"/>
        <v>0</v>
      </c>
      <c r="I118" s="20">
        <f t="shared" si="23"/>
        <v>0</v>
      </c>
      <c r="J118">
        <v>0</v>
      </c>
    </row>
    <row r="119" spans="2:11" x14ac:dyDescent="0.25">
      <c r="B119" s="37" t="s">
        <v>464</v>
      </c>
      <c r="C119" s="20">
        <v>0</v>
      </c>
      <c r="D119" s="20">
        <v>0</v>
      </c>
      <c r="E119" s="20">
        <f t="shared" si="19"/>
        <v>0</v>
      </c>
      <c r="F119" s="20">
        <f t="shared" si="20"/>
        <v>0</v>
      </c>
      <c r="G119" s="20">
        <f t="shared" si="21"/>
        <v>0</v>
      </c>
      <c r="H119" s="20">
        <f t="shared" si="22"/>
        <v>0</v>
      </c>
      <c r="I119" s="20">
        <f t="shared" si="23"/>
        <v>0</v>
      </c>
      <c r="J119">
        <v>0</v>
      </c>
    </row>
    <row r="121" spans="2:11" x14ac:dyDescent="0.25">
      <c r="B121" s="48"/>
      <c r="C121" s="37"/>
      <c r="D121" s="37">
        <f>SUM(D104:D119)*5</f>
        <v>8.0649999999999995</v>
      </c>
      <c r="E121" s="37"/>
      <c r="F121" s="37"/>
      <c r="G121" s="37"/>
    </row>
    <row r="122" spans="2:11" x14ac:dyDescent="0.25">
      <c r="B122" s="37"/>
      <c r="C122" s="37"/>
      <c r="D122" s="37"/>
      <c r="E122" s="37"/>
      <c r="F122" s="37"/>
      <c r="G122" s="37"/>
    </row>
    <row r="123" spans="2:11" x14ac:dyDescent="0.25">
      <c r="F123" t="s">
        <v>1085</v>
      </c>
    </row>
    <row r="124" spans="2:11" x14ac:dyDescent="0.25">
      <c r="G124" t="s">
        <v>1084</v>
      </c>
      <c r="H124" t="s">
        <v>1003</v>
      </c>
    </row>
    <row r="125" spans="2:11" x14ac:dyDescent="0.25">
      <c r="F125">
        <v>1925</v>
      </c>
      <c r="G125">
        <v>7.4809999999999999</v>
      </c>
    </row>
    <row r="126" spans="2:11" x14ac:dyDescent="0.25">
      <c r="F126" s="37">
        <v>1930</v>
      </c>
      <c r="G126" s="37">
        <v>7.4809999999999999</v>
      </c>
    </row>
    <row r="127" spans="2:11" x14ac:dyDescent="0.25">
      <c r="F127" s="37">
        <v>1935</v>
      </c>
      <c r="G127" s="37">
        <v>7.4809999999999999</v>
      </c>
      <c r="K127" t="s">
        <v>1316</v>
      </c>
    </row>
    <row r="128" spans="2:11" x14ac:dyDescent="0.25">
      <c r="F128" s="37">
        <v>1940</v>
      </c>
      <c r="G128" s="37">
        <v>7.4809999999999999</v>
      </c>
      <c r="K128" t="s">
        <v>1317</v>
      </c>
    </row>
    <row r="129" spans="6:11" x14ac:dyDescent="0.25">
      <c r="F129" s="37">
        <v>1945</v>
      </c>
      <c r="G129" s="37">
        <v>7.4809999999999999</v>
      </c>
      <c r="K129" t="s">
        <v>1317</v>
      </c>
    </row>
    <row r="130" spans="6:11" x14ac:dyDescent="0.25">
      <c r="F130" s="37">
        <v>1950</v>
      </c>
      <c r="G130" s="37">
        <v>7.4809999999999999</v>
      </c>
      <c r="H130" s="37">
        <v>7.4809999999999999</v>
      </c>
      <c r="K130" t="s">
        <v>1318</v>
      </c>
    </row>
    <row r="131" spans="6:11" x14ac:dyDescent="0.25">
      <c r="F131" s="37">
        <v>1955</v>
      </c>
      <c r="G131" s="37">
        <v>7.4809999999999999</v>
      </c>
      <c r="H131" s="37">
        <v>7.7850000000000001</v>
      </c>
      <c r="K131" t="s">
        <v>1319</v>
      </c>
    </row>
    <row r="132" spans="6:11" x14ac:dyDescent="0.25">
      <c r="F132" s="37">
        <v>1960</v>
      </c>
      <c r="G132" s="37">
        <v>7.4809999999999999</v>
      </c>
      <c r="H132" s="37">
        <v>8.0650000000000013</v>
      </c>
      <c r="K132" t="s">
        <v>1320</v>
      </c>
    </row>
    <row r="133" spans="6:11" x14ac:dyDescent="0.25">
      <c r="F133" s="37">
        <v>1965</v>
      </c>
      <c r="G133" s="37">
        <v>7.1069500000000003</v>
      </c>
      <c r="H133" s="37">
        <v>8.1100000000000012</v>
      </c>
      <c r="K133" t="s">
        <v>1321</v>
      </c>
    </row>
    <row r="134" spans="6:11" x14ac:dyDescent="0.25">
      <c r="F134" s="37">
        <v>1970</v>
      </c>
      <c r="G134" s="37">
        <v>6.7328999999999999</v>
      </c>
      <c r="H134" s="37">
        <v>7.99</v>
      </c>
      <c r="K134" t="s">
        <v>1322</v>
      </c>
    </row>
    <row r="135" spans="6:11" x14ac:dyDescent="0.25">
      <c r="F135" s="37">
        <v>1975</v>
      </c>
      <c r="G135" s="37">
        <v>6.3588500000000003</v>
      </c>
      <c r="H135" s="37">
        <v>7.64</v>
      </c>
      <c r="K135" t="s">
        <v>1323</v>
      </c>
    </row>
    <row r="136" spans="6:11" x14ac:dyDescent="0.25">
      <c r="F136" s="37">
        <v>1980</v>
      </c>
      <c r="G136" s="37">
        <v>5.9791002774989996</v>
      </c>
      <c r="H136" s="37">
        <v>7.2160000000000002</v>
      </c>
      <c r="K136" t="s">
        <v>1324</v>
      </c>
    </row>
    <row r="137" spans="6:11" x14ac:dyDescent="0.25">
      <c r="F137" s="37">
        <v>1985</v>
      </c>
      <c r="G137" s="37">
        <v>5.5663790347360003</v>
      </c>
      <c r="H137" s="37">
        <v>6.5380000000000003</v>
      </c>
    </row>
    <row r="138" spans="6:11" x14ac:dyDescent="0.25">
      <c r="F138" s="37">
        <v>1990</v>
      </c>
      <c r="G138" s="37">
        <v>4.9987303027299994</v>
      </c>
      <c r="H138" s="37">
        <v>5.65</v>
      </c>
    </row>
    <row r="139" spans="6:11" x14ac:dyDescent="0.25">
      <c r="F139" s="37">
        <v>1995</v>
      </c>
      <c r="G139" s="37">
        <v>4.352978105949</v>
      </c>
      <c r="H139" s="37">
        <v>5.35</v>
      </c>
    </row>
    <row r="140" spans="6:11" x14ac:dyDescent="0.25">
      <c r="F140" s="37">
        <v>2000</v>
      </c>
      <c r="G140" s="37">
        <v>3.8508793617579999</v>
      </c>
      <c r="H140" s="37">
        <v>4.9999999999999991</v>
      </c>
    </row>
    <row r="141" spans="6:11" x14ac:dyDescent="0.25">
      <c r="F141" s="37">
        <v>2005</v>
      </c>
      <c r="G141" s="37">
        <v>3.819383495701</v>
      </c>
      <c r="H141" s="37">
        <v>4.6500000000000004</v>
      </c>
    </row>
    <row r="142" spans="6:11" x14ac:dyDescent="0.25">
      <c r="F142" s="37">
        <v>2009.9999999999998</v>
      </c>
      <c r="G142" s="37">
        <v>3.7731554368700002</v>
      </c>
      <c r="H142" s="37">
        <v>4.0599999999999996</v>
      </c>
    </row>
    <row r="143" spans="6:11" x14ac:dyDescent="0.25">
      <c r="F143" s="37">
        <v>2015.0000000000002</v>
      </c>
      <c r="G143" s="37">
        <v>3.209527135179</v>
      </c>
      <c r="H143" s="37">
        <v>3.52</v>
      </c>
    </row>
    <row r="144" spans="6:11" x14ac:dyDescent="0.25">
      <c r="F144" s="37">
        <v>2020</v>
      </c>
      <c r="G144" s="37">
        <v>2.7588941232209998</v>
      </c>
      <c r="H144">
        <v>3.2588000000000008</v>
      </c>
    </row>
    <row r="146" spans="2:38" x14ac:dyDescent="0.25">
      <c r="B146" s="45" t="s">
        <v>1039</v>
      </c>
      <c r="C146" s="37">
        <v>1925</v>
      </c>
      <c r="D146" s="37">
        <v>1930</v>
      </c>
      <c r="E146" s="37">
        <v>1935</v>
      </c>
      <c r="F146" s="37">
        <v>1940</v>
      </c>
      <c r="G146" s="37">
        <v>1945</v>
      </c>
      <c r="H146" s="37">
        <v>1950</v>
      </c>
      <c r="I146" s="37">
        <v>1955</v>
      </c>
      <c r="J146" s="37">
        <v>1960</v>
      </c>
      <c r="K146" s="37">
        <v>1965</v>
      </c>
      <c r="L146" s="37">
        <v>1970</v>
      </c>
      <c r="M146" s="37">
        <v>1975</v>
      </c>
      <c r="N146" s="37">
        <v>1980</v>
      </c>
      <c r="O146" s="37">
        <v>1985</v>
      </c>
      <c r="P146" s="37">
        <v>1990</v>
      </c>
      <c r="Q146" s="37">
        <v>1995</v>
      </c>
      <c r="R146" s="37">
        <v>2000</v>
      </c>
      <c r="S146" s="37">
        <v>2005</v>
      </c>
      <c r="T146" s="37">
        <v>2009.9999999999998</v>
      </c>
      <c r="U146" s="37">
        <v>2015.0000000000002</v>
      </c>
      <c r="V146" s="37">
        <v>2020</v>
      </c>
      <c r="X146" s="37"/>
      <c r="Y146" s="37"/>
      <c r="Z146" s="37"/>
      <c r="AA146" s="37"/>
      <c r="AB146" s="37"/>
      <c r="AC146" s="37"/>
      <c r="AD146" s="37"/>
      <c r="AE146" s="37"/>
      <c r="AF146" s="37"/>
      <c r="AG146" s="37"/>
      <c r="AH146" s="37"/>
      <c r="AI146" s="37"/>
      <c r="AJ146" s="37"/>
      <c r="AK146" s="37"/>
      <c r="AL146" s="37"/>
    </row>
    <row r="147" spans="2:38" x14ac:dyDescent="0.25">
      <c r="B147" s="46" t="s">
        <v>137</v>
      </c>
      <c r="C147" s="7">
        <f>0.182269 * 1000</f>
        <v>182.26899999999998</v>
      </c>
      <c r="D147" s="7">
        <f t="shared" ref="D147:L147" si="25">0.182269 * 1000</f>
        <v>182.26899999999998</v>
      </c>
      <c r="E147" s="7">
        <f t="shared" si="25"/>
        <v>182.26899999999998</v>
      </c>
      <c r="F147" s="7">
        <f t="shared" si="25"/>
        <v>182.26899999999998</v>
      </c>
      <c r="G147" s="7">
        <f t="shared" si="25"/>
        <v>182.26899999999998</v>
      </c>
      <c r="H147" s="7">
        <f t="shared" si="25"/>
        <v>182.26899999999998</v>
      </c>
      <c r="I147" s="7">
        <f t="shared" si="25"/>
        <v>182.26899999999998</v>
      </c>
      <c r="J147" s="7">
        <f t="shared" si="25"/>
        <v>182.26899999999998</v>
      </c>
      <c r="K147" s="7">
        <f t="shared" si="25"/>
        <v>182.26899999999998</v>
      </c>
      <c r="L147" s="7">
        <f t="shared" si="25"/>
        <v>182.26899999999998</v>
      </c>
      <c r="N147" s="48"/>
      <c r="O147" s="48"/>
      <c r="P147" s="7">
        <f>0.13670175*1000</f>
        <v>136.70175</v>
      </c>
      <c r="Q147" s="48"/>
      <c r="R147" s="48"/>
      <c r="S147" s="48"/>
      <c r="U147" s="48"/>
      <c r="V147" s="7">
        <f>0.0779199975*1000</f>
        <v>77.919997500000008</v>
      </c>
    </row>
    <row r="148" spans="2:38" x14ac:dyDescent="0.25">
      <c r="B148" s="46" t="s">
        <v>138</v>
      </c>
      <c r="C148" s="7">
        <f>0.379055 *1000</f>
        <v>379.05499999999995</v>
      </c>
      <c r="D148" s="7">
        <f t="shared" ref="D148:L148" si="26">0.379055 *1000</f>
        <v>379.05499999999995</v>
      </c>
      <c r="E148" s="7">
        <f t="shared" si="26"/>
        <v>379.05499999999995</v>
      </c>
      <c r="F148" s="7">
        <f t="shared" si="26"/>
        <v>379.05499999999995</v>
      </c>
      <c r="G148" s="7">
        <f t="shared" si="26"/>
        <v>379.05499999999995</v>
      </c>
      <c r="H148" s="7">
        <f t="shared" si="26"/>
        <v>379.05499999999995</v>
      </c>
      <c r="I148" s="7">
        <f t="shared" si="26"/>
        <v>379.05499999999995</v>
      </c>
      <c r="J148" s="7">
        <f t="shared" si="26"/>
        <v>379.05499999999995</v>
      </c>
      <c r="K148" s="7">
        <f t="shared" si="26"/>
        <v>379.05499999999995</v>
      </c>
      <c r="L148" s="7">
        <f t="shared" si="26"/>
        <v>379.05499999999995</v>
      </c>
      <c r="N148" s="48"/>
      <c r="O148" s="48"/>
      <c r="P148" s="7">
        <f>0.28429125*1000</f>
        <v>284.29124999999999</v>
      </c>
      <c r="Q148" s="48"/>
      <c r="R148" s="48"/>
      <c r="S148" s="48"/>
      <c r="U148" s="48"/>
      <c r="V148" s="7">
        <f>0.1620460125*1000</f>
        <v>162.04601249999999</v>
      </c>
    </row>
    <row r="149" spans="2:38" x14ac:dyDescent="0.25">
      <c r="B149" s="46" t="s">
        <v>139</v>
      </c>
      <c r="C149" s="7">
        <f>0.364538*1000</f>
        <v>364.53799999999995</v>
      </c>
      <c r="D149" s="7">
        <f t="shared" ref="D149:L149" si="27">0.364538*1000</f>
        <v>364.53799999999995</v>
      </c>
      <c r="E149" s="7">
        <f t="shared" si="27"/>
        <v>364.53799999999995</v>
      </c>
      <c r="F149" s="7">
        <f t="shared" si="27"/>
        <v>364.53799999999995</v>
      </c>
      <c r="G149" s="7">
        <f t="shared" si="27"/>
        <v>364.53799999999995</v>
      </c>
      <c r="H149" s="7">
        <f t="shared" si="27"/>
        <v>364.53799999999995</v>
      </c>
      <c r="I149" s="7">
        <f t="shared" si="27"/>
        <v>364.53799999999995</v>
      </c>
      <c r="J149" s="7">
        <f t="shared" si="27"/>
        <v>364.53799999999995</v>
      </c>
      <c r="K149" s="7">
        <f t="shared" si="27"/>
        <v>364.53799999999995</v>
      </c>
      <c r="L149" s="7">
        <f t="shared" si="27"/>
        <v>364.53799999999995</v>
      </c>
      <c r="N149" s="48"/>
      <c r="O149" s="48"/>
      <c r="P149" s="7">
        <f>0.2734035*1000</f>
        <v>273.40350000000001</v>
      </c>
      <c r="Q149" s="48"/>
      <c r="R149" s="48"/>
      <c r="S149" s="48"/>
      <c r="U149" s="48"/>
      <c r="V149" s="7">
        <f>0.155839995*1000</f>
        <v>155.83999500000002</v>
      </c>
    </row>
    <row r="150" spans="2:38" x14ac:dyDescent="0.25">
      <c r="B150" s="46" t="s">
        <v>140</v>
      </c>
      <c r="C150" s="7">
        <f>0.30647*1000</f>
        <v>306.47000000000003</v>
      </c>
      <c r="D150" s="7">
        <f t="shared" ref="D150:L150" si="28">0.30647*1000</f>
        <v>306.47000000000003</v>
      </c>
      <c r="E150" s="7">
        <f t="shared" si="28"/>
        <v>306.47000000000003</v>
      </c>
      <c r="F150" s="7">
        <f t="shared" si="28"/>
        <v>306.47000000000003</v>
      </c>
      <c r="G150" s="7">
        <f t="shared" si="28"/>
        <v>306.47000000000003</v>
      </c>
      <c r="H150" s="7">
        <f t="shared" si="28"/>
        <v>306.47000000000003</v>
      </c>
      <c r="I150" s="7">
        <f t="shared" si="28"/>
        <v>306.47000000000003</v>
      </c>
      <c r="J150" s="7">
        <f t="shared" si="28"/>
        <v>306.47000000000003</v>
      </c>
      <c r="K150" s="7">
        <f t="shared" si="28"/>
        <v>306.47000000000003</v>
      </c>
      <c r="L150" s="7">
        <f t="shared" si="28"/>
        <v>306.47000000000003</v>
      </c>
      <c r="N150" s="48"/>
      <c r="O150" s="48"/>
      <c r="P150" s="7">
        <f>0.2298525*1000</f>
        <v>229.85249999999999</v>
      </c>
      <c r="Q150" s="48"/>
      <c r="R150" s="48"/>
      <c r="S150" s="48"/>
      <c r="U150" s="48"/>
      <c r="V150" s="7">
        <f>0.131015925*1000</f>
        <v>131.01592500000001</v>
      </c>
    </row>
    <row r="151" spans="2:38" x14ac:dyDescent="0.25">
      <c r="B151" s="46" t="s">
        <v>141</v>
      </c>
      <c r="C151" s="7">
        <f>0.219368*1000</f>
        <v>219.36799999999999</v>
      </c>
      <c r="D151" s="7">
        <f t="shared" ref="D151:L151" si="29">0.219368*1000</f>
        <v>219.36799999999999</v>
      </c>
      <c r="E151" s="7">
        <f t="shared" si="29"/>
        <v>219.36799999999999</v>
      </c>
      <c r="F151" s="7">
        <f t="shared" si="29"/>
        <v>219.36799999999999</v>
      </c>
      <c r="G151" s="7">
        <f t="shared" si="29"/>
        <v>219.36799999999999</v>
      </c>
      <c r="H151" s="7">
        <f t="shared" si="29"/>
        <v>219.36799999999999</v>
      </c>
      <c r="I151" s="7">
        <f t="shared" si="29"/>
        <v>219.36799999999999</v>
      </c>
      <c r="J151" s="7">
        <f t="shared" si="29"/>
        <v>219.36799999999999</v>
      </c>
      <c r="K151" s="7">
        <f t="shared" si="29"/>
        <v>219.36799999999999</v>
      </c>
      <c r="L151" s="7">
        <f t="shared" si="29"/>
        <v>219.36799999999999</v>
      </c>
      <c r="N151" s="48"/>
      <c r="O151" s="48"/>
      <c r="P151" s="7">
        <f>0.164526*1000</f>
        <v>164.52600000000001</v>
      </c>
      <c r="Q151" s="48"/>
      <c r="R151" s="48"/>
      <c r="S151" s="48"/>
      <c r="U151" s="48"/>
      <c r="V151" s="7">
        <f>0.09377982*1000</f>
        <v>93.779820000000001</v>
      </c>
    </row>
    <row r="152" spans="2:38" x14ac:dyDescent="0.25">
      <c r="B152" s="46" t="s">
        <v>142</v>
      </c>
      <c r="C152" s="7">
        <f>0.119362*1000</f>
        <v>119.36199999999999</v>
      </c>
      <c r="D152" s="7">
        <f t="shared" ref="D152:L152" si="30">0.119362*1000</f>
        <v>119.36199999999999</v>
      </c>
      <c r="E152" s="7">
        <f t="shared" si="30"/>
        <v>119.36199999999999</v>
      </c>
      <c r="F152" s="7">
        <f t="shared" si="30"/>
        <v>119.36199999999999</v>
      </c>
      <c r="G152" s="7">
        <f t="shared" si="30"/>
        <v>119.36199999999999</v>
      </c>
      <c r="H152" s="7">
        <f t="shared" si="30"/>
        <v>119.36199999999999</v>
      </c>
      <c r="I152" s="7">
        <f t="shared" si="30"/>
        <v>119.36199999999999</v>
      </c>
      <c r="J152" s="7">
        <f t="shared" si="30"/>
        <v>119.36199999999999</v>
      </c>
      <c r="K152" s="7">
        <f t="shared" si="30"/>
        <v>119.36199999999999</v>
      </c>
      <c r="L152" s="7">
        <f t="shared" si="30"/>
        <v>119.36199999999999</v>
      </c>
      <c r="N152" s="48"/>
      <c r="O152" s="48"/>
      <c r="P152" s="7">
        <f>0.0895215*1000</f>
        <v>89.521500000000003</v>
      </c>
      <c r="Q152" s="48"/>
      <c r="R152" s="48"/>
      <c r="S152" s="48"/>
      <c r="U152" s="48"/>
      <c r="V152" s="7">
        <f>0.051027255*1000</f>
        <v>51.027255000000004</v>
      </c>
    </row>
    <row r="153" spans="2:38" x14ac:dyDescent="0.25">
      <c r="B153" s="46" t="s">
        <v>143</v>
      </c>
      <c r="C153" s="7">
        <f>0.041938 *1000</f>
        <v>41.938000000000002</v>
      </c>
      <c r="D153" s="7">
        <f t="shared" ref="D153:L153" si="31">0.041938 *1000</f>
        <v>41.938000000000002</v>
      </c>
      <c r="E153" s="7">
        <f t="shared" si="31"/>
        <v>41.938000000000002</v>
      </c>
      <c r="F153" s="7">
        <f t="shared" si="31"/>
        <v>41.938000000000002</v>
      </c>
      <c r="G153" s="7">
        <f t="shared" si="31"/>
        <v>41.938000000000002</v>
      </c>
      <c r="H153" s="7">
        <f t="shared" si="31"/>
        <v>41.938000000000002</v>
      </c>
      <c r="I153" s="7">
        <f t="shared" si="31"/>
        <v>41.938000000000002</v>
      </c>
      <c r="J153" s="7">
        <f t="shared" si="31"/>
        <v>41.938000000000002</v>
      </c>
      <c r="K153" s="7">
        <f t="shared" si="31"/>
        <v>41.938000000000002</v>
      </c>
      <c r="L153" s="7">
        <f t="shared" si="31"/>
        <v>41.938000000000002</v>
      </c>
      <c r="N153" s="48"/>
      <c r="O153" s="48"/>
      <c r="P153" s="7">
        <f>0.0314535*1000</f>
        <v>31.453500000000002</v>
      </c>
      <c r="Q153" s="48"/>
      <c r="R153" s="48"/>
      <c r="S153" s="48"/>
      <c r="U153" s="48"/>
      <c r="V153" s="7">
        <f>0.017928495*1000</f>
        <v>17.928494999999998</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2"/>
  <sheetViews>
    <sheetView topLeftCell="A92" workbookViewId="0">
      <selection activeCell="K122" sqref="K122"/>
    </sheetView>
  </sheetViews>
  <sheetFormatPr defaultRowHeight="15" x14ac:dyDescent="0.25"/>
  <cols>
    <col min="2" max="2" width="12.42578125" customWidth="1"/>
  </cols>
  <sheetData>
    <row r="1" spans="1:4" x14ac:dyDescent="0.25">
      <c r="A1" s="2" t="s">
        <v>340</v>
      </c>
    </row>
    <row r="2" spans="1:4" x14ac:dyDescent="0.25">
      <c r="A2" s="2"/>
      <c r="B2" t="s">
        <v>362</v>
      </c>
    </row>
    <row r="3" spans="1:4" x14ac:dyDescent="0.25">
      <c r="A3" s="2"/>
      <c r="B3" t="s">
        <v>80</v>
      </c>
      <c r="C3" t="s">
        <v>217</v>
      </c>
      <c r="D3" t="s">
        <v>222</v>
      </c>
    </row>
    <row r="4" spans="1:4" x14ac:dyDescent="0.25">
      <c r="A4" s="2"/>
      <c r="B4" t="s">
        <v>341</v>
      </c>
      <c r="C4">
        <v>0.115</v>
      </c>
      <c r="D4">
        <v>0.11</v>
      </c>
    </row>
    <row r="5" spans="1:4" x14ac:dyDescent="0.25">
      <c r="A5" s="2"/>
      <c r="B5" s="15" t="s">
        <v>342</v>
      </c>
      <c r="C5">
        <v>1.6E-2</v>
      </c>
      <c r="D5">
        <v>1.4E-2</v>
      </c>
    </row>
    <row r="6" spans="1:4" x14ac:dyDescent="0.25">
      <c r="A6" s="2"/>
      <c r="B6" s="15" t="s">
        <v>343</v>
      </c>
      <c r="C6">
        <v>3.0000000000000001E-3</v>
      </c>
      <c r="D6">
        <v>3.0000000000000001E-3</v>
      </c>
    </row>
    <row r="7" spans="1:4" x14ac:dyDescent="0.25">
      <c r="A7" s="2"/>
      <c r="B7" s="15" t="s">
        <v>344</v>
      </c>
      <c r="C7">
        <v>2E-3</v>
      </c>
      <c r="D7">
        <v>2E-3</v>
      </c>
    </row>
    <row r="8" spans="1:4" x14ac:dyDescent="0.25">
      <c r="A8" s="2"/>
      <c r="B8" s="15" t="s">
        <v>345</v>
      </c>
      <c r="C8">
        <v>4.0000000000000001E-3</v>
      </c>
      <c r="D8">
        <v>3.0000000000000001E-3</v>
      </c>
    </row>
    <row r="9" spans="1:4" x14ac:dyDescent="0.25">
      <c r="A9" s="2"/>
      <c r="B9" s="15" t="s">
        <v>346</v>
      </c>
      <c r="C9">
        <v>5.0000000000000001E-3</v>
      </c>
      <c r="D9">
        <v>5.0000000000000001E-3</v>
      </c>
    </row>
    <row r="10" spans="1:4" x14ac:dyDescent="0.25">
      <c r="A10" s="2"/>
      <c r="B10" s="15" t="s">
        <v>347</v>
      </c>
      <c r="C10">
        <v>6.0000000000000001E-3</v>
      </c>
      <c r="D10">
        <v>5.0000000000000001E-3</v>
      </c>
    </row>
    <row r="11" spans="1:4" x14ac:dyDescent="0.25">
      <c r="A11" s="2"/>
      <c r="B11" s="15" t="s">
        <v>348</v>
      </c>
      <c r="C11">
        <v>6.0000000000000001E-3</v>
      </c>
      <c r="D11">
        <v>5.0000000000000001E-3</v>
      </c>
    </row>
    <row r="12" spans="1:4" x14ac:dyDescent="0.25">
      <c r="A12" s="2"/>
      <c r="B12" s="15" t="s">
        <v>349</v>
      </c>
      <c r="C12">
        <v>7.0000000000000001E-3</v>
      </c>
      <c r="D12">
        <v>5.0000000000000001E-3</v>
      </c>
    </row>
    <row r="13" spans="1:4" x14ac:dyDescent="0.25">
      <c r="B13" s="15" t="s">
        <v>350</v>
      </c>
      <c r="C13">
        <v>8.0000000000000002E-3</v>
      </c>
      <c r="D13">
        <v>6.0000000000000001E-3</v>
      </c>
    </row>
    <row r="14" spans="1:4" x14ac:dyDescent="0.25">
      <c r="B14" s="15" t="s">
        <v>351</v>
      </c>
      <c r="C14">
        <v>0.01</v>
      </c>
      <c r="D14">
        <v>8.0000000000000002E-3</v>
      </c>
    </row>
    <row r="15" spans="1:4" x14ac:dyDescent="0.25">
      <c r="B15" s="15" t="s">
        <v>352</v>
      </c>
      <c r="C15">
        <v>1.4E-2</v>
      </c>
      <c r="D15">
        <v>1.0999999999999999E-2</v>
      </c>
    </row>
    <row r="16" spans="1:4" x14ac:dyDescent="0.25">
      <c r="B16" s="15" t="s">
        <v>353</v>
      </c>
      <c r="C16">
        <v>1.9E-2</v>
      </c>
      <c r="D16">
        <v>1.4999999999999999E-2</v>
      </c>
    </row>
    <row r="17" spans="1:8" x14ac:dyDescent="0.25">
      <c r="B17" s="15" t="s">
        <v>354</v>
      </c>
      <c r="C17">
        <v>2.9000000000000001E-2</v>
      </c>
      <c r="D17">
        <v>2.4E-2</v>
      </c>
    </row>
    <row r="18" spans="1:8" x14ac:dyDescent="0.25">
      <c r="B18" s="15" t="s">
        <v>355</v>
      </c>
      <c r="C18">
        <v>4.5999999999999999E-2</v>
      </c>
      <c r="D18">
        <v>3.9E-2</v>
      </c>
    </row>
    <row r="19" spans="1:8" x14ac:dyDescent="0.25">
      <c r="B19" s="15" t="s">
        <v>356</v>
      </c>
      <c r="C19">
        <v>7.2999999999999995E-2</v>
      </c>
      <c r="D19">
        <v>6.6000000000000003E-2</v>
      </c>
    </row>
    <row r="20" spans="1:8" x14ac:dyDescent="0.25">
      <c r="B20" s="15" t="s">
        <v>357</v>
      </c>
      <c r="C20">
        <v>0.11600000000000001</v>
      </c>
      <c r="D20">
        <v>0.11</v>
      </c>
    </row>
    <row r="21" spans="1:8" x14ac:dyDescent="0.25">
      <c r="B21" s="15" t="s">
        <v>328</v>
      </c>
      <c r="C21">
        <v>0.19800000000000001</v>
      </c>
      <c r="D21">
        <v>0.19</v>
      </c>
    </row>
    <row r="23" spans="1:8" x14ac:dyDescent="0.25">
      <c r="B23" s="15" t="s">
        <v>366</v>
      </c>
      <c r="C23">
        <v>17.7</v>
      </c>
      <c r="D23" s="12">
        <v>0.192</v>
      </c>
    </row>
    <row r="25" spans="1:8" x14ac:dyDescent="0.25">
      <c r="A25" s="2" t="s">
        <v>136</v>
      </c>
    </row>
    <row r="26" spans="1:8" x14ac:dyDescent="0.25">
      <c r="A26" t="s">
        <v>226</v>
      </c>
      <c r="B26" t="s">
        <v>218</v>
      </c>
    </row>
    <row r="27" spans="1:8" x14ac:dyDescent="0.25">
      <c r="C27" t="s">
        <v>215</v>
      </c>
      <c r="E27" t="s">
        <v>228</v>
      </c>
      <c r="G27" t="s">
        <v>217</v>
      </c>
    </row>
    <row r="28" spans="1:8" x14ac:dyDescent="0.25">
      <c r="B28" t="s">
        <v>80</v>
      </c>
      <c r="C28" t="s">
        <v>224</v>
      </c>
      <c r="D28" t="s">
        <v>225</v>
      </c>
      <c r="E28" t="s">
        <v>224</v>
      </c>
      <c r="F28" t="s">
        <v>225</v>
      </c>
      <c r="G28" t="s">
        <v>224</v>
      </c>
      <c r="H28" t="s">
        <v>225</v>
      </c>
    </row>
    <row r="29" spans="1:8" x14ac:dyDescent="0.25">
      <c r="B29" t="s">
        <v>137</v>
      </c>
      <c r="C29">
        <v>1.67</v>
      </c>
      <c r="D29">
        <v>0.38400000000000001</v>
      </c>
      <c r="E29">
        <v>0.114</v>
      </c>
      <c r="F29">
        <v>7.1999999999999995E-2</v>
      </c>
      <c r="G29">
        <v>2.0499999999999998</v>
      </c>
      <c r="H29">
        <v>0.34399999999999997</v>
      </c>
    </row>
    <row r="30" spans="1:8" x14ac:dyDescent="0.25">
      <c r="B30" t="s">
        <v>138</v>
      </c>
      <c r="C30">
        <v>2.1</v>
      </c>
      <c r="D30">
        <v>0.29299999999999998</v>
      </c>
      <c r="E30">
        <v>0.45800000000000002</v>
      </c>
      <c r="F30">
        <v>0.14599999999999999</v>
      </c>
      <c r="G30">
        <v>2.36</v>
      </c>
      <c r="H30">
        <v>0.29699999999999999</v>
      </c>
    </row>
    <row r="31" spans="1:8" x14ac:dyDescent="0.25">
      <c r="B31" t="s">
        <v>139</v>
      </c>
      <c r="C31">
        <v>2.66</v>
      </c>
      <c r="D31">
        <v>0.36399999999999999</v>
      </c>
      <c r="E31">
        <v>0.72799999999999998</v>
      </c>
      <c r="F31">
        <v>0.22700000000000001</v>
      </c>
      <c r="G31">
        <v>3.62</v>
      </c>
      <c r="H31">
        <v>0.40100000000000002</v>
      </c>
    </row>
    <row r="32" spans="1:8" x14ac:dyDescent="0.25">
      <c r="B32" t="s">
        <v>140</v>
      </c>
      <c r="C32">
        <v>4.7300000000000004</v>
      </c>
      <c r="D32">
        <v>0.50700000000000001</v>
      </c>
      <c r="E32">
        <v>0.64600000000000002</v>
      </c>
      <c r="F32">
        <v>0.19500000000000001</v>
      </c>
      <c r="G32">
        <v>5.23</v>
      </c>
      <c r="H32">
        <v>0.53600000000000003</v>
      </c>
    </row>
    <row r="33" spans="1:8" x14ac:dyDescent="0.25">
      <c r="B33" t="s">
        <v>141</v>
      </c>
      <c r="C33">
        <v>6.78</v>
      </c>
      <c r="D33">
        <v>0.72099999999999997</v>
      </c>
      <c r="E33">
        <v>0.86499999999999999</v>
      </c>
      <c r="F33">
        <v>0.255</v>
      </c>
      <c r="G33">
        <v>7.11</v>
      </c>
      <c r="H33">
        <v>0.69799999999999995</v>
      </c>
    </row>
    <row r="34" spans="1:8" x14ac:dyDescent="0.25">
      <c r="B34" t="s">
        <v>142</v>
      </c>
      <c r="C34">
        <v>6.83</v>
      </c>
      <c r="D34">
        <v>0.84299999999999997</v>
      </c>
      <c r="E34">
        <v>0.5</v>
      </c>
      <c r="F34">
        <v>0.17799999999999999</v>
      </c>
      <c r="G34">
        <v>9.7100000000000009</v>
      </c>
      <c r="H34">
        <v>0.97699999999999998</v>
      </c>
    </row>
    <row r="35" spans="1:8" x14ac:dyDescent="0.25">
      <c r="B35" t="s">
        <v>143</v>
      </c>
      <c r="C35">
        <v>5</v>
      </c>
      <c r="D35">
        <v>0.76100000000000001</v>
      </c>
      <c r="E35">
        <v>0.223</v>
      </c>
      <c r="F35">
        <v>0.11799999999999999</v>
      </c>
      <c r="G35">
        <v>10.39</v>
      </c>
      <c r="H35">
        <v>1.3069999999999999</v>
      </c>
    </row>
    <row r="36" spans="1:8" x14ac:dyDescent="0.25">
      <c r="B36" t="s">
        <v>216</v>
      </c>
      <c r="C36">
        <v>3.72</v>
      </c>
      <c r="D36">
        <v>0.19600000000000001</v>
      </c>
      <c r="E36">
        <v>0.51200000000000001</v>
      </c>
      <c r="F36">
        <v>7.5999999999999998E-2</v>
      </c>
      <c r="G36">
        <v>4.78</v>
      </c>
      <c r="H36">
        <v>0.24199999999999999</v>
      </c>
    </row>
    <row r="38" spans="1:8" x14ac:dyDescent="0.25">
      <c r="A38" t="s">
        <v>219</v>
      </c>
      <c r="B38" t="s">
        <v>221</v>
      </c>
    </row>
    <row r="39" spans="1:8" x14ac:dyDescent="0.25">
      <c r="C39" t="s">
        <v>222</v>
      </c>
      <c r="E39" t="s">
        <v>229</v>
      </c>
      <c r="G39" t="s">
        <v>223</v>
      </c>
    </row>
    <row r="40" spans="1:8" x14ac:dyDescent="0.25">
      <c r="B40" t="s">
        <v>220</v>
      </c>
      <c r="C40" t="s">
        <v>227</v>
      </c>
      <c r="D40" t="s">
        <v>225</v>
      </c>
      <c r="E40" t="s">
        <v>227</v>
      </c>
      <c r="F40" t="s">
        <v>225</v>
      </c>
      <c r="G40" t="s">
        <v>227</v>
      </c>
      <c r="H40" t="s">
        <v>225</v>
      </c>
    </row>
    <row r="41" spans="1:8" x14ac:dyDescent="0.25">
      <c r="B41" t="s">
        <v>206</v>
      </c>
      <c r="C41">
        <v>235</v>
      </c>
      <c r="D41">
        <v>7</v>
      </c>
      <c r="E41">
        <v>506</v>
      </c>
      <c r="F41">
        <v>54</v>
      </c>
      <c r="G41">
        <v>240</v>
      </c>
      <c r="H41">
        <v>9</v>
      </c>
    </row>
    <row r="42" spans="1:8" x14ac:dyDescent="0.25">
      <c r="B42" t="s">
        <v>208</v>
      </c>
      <c r="C42">
        <v>214</v>
      </c>
      <c r="D42">
        <v>17</v>
      </c>
      <c r="E42">
        <v>520</v>
      </c>
      <c r="F42">
        <v>88</v>
      </c>
      <c r="G42">
        <v>231</v>
      </c>
      <c r="H42">
        <v>16</v>
      </c>
    </row>
    <row r="43" spans="1:8" x14ac:dyDescent="0.25">
      <c r="B43" t="s">
        <v>210</v>
      </c>
      <c r="C43">
        <v>138</v>
      </c>
      <c r="D43">
        <v>12</v>
      </c>
      <c r="E43">
        <v>362</v>
      </c>
      <c r="F43">
        <v>54</v>
      </c>
      <c r="G43">
        <v>183</v>
      </c>
      <c r="H43">
        <v>13</v>
      </c>
    </row>
    <row r="44" spans="1:8" x14ac:dyDescent="0.25">
      <c r="A44" s="2" t="s">
        <v>359</v>
      </c>
      <c r="B44" t="s">
        <v>360</v>
      </c>
      <c r="C44">
        <v>313</v>
      </c>
      <c r="G44">
        <v>348</v>
      </c>
    </row>
    <row r="45" spans="1:8" x14ac:dyDescent="0.25">
      <c r="B45" t="s">
        <v>361</v>
      </c>
      <c r="C45">
        <v>396</v>
      </c>
      <c r="G45">
        <v>462</v>
      </c>
    </row>
    <row r="47" spans="1:8" x14ac:dyDescent="0.25">
      <c r="A47" s="2" t="s">
        <v>374</v>
      </c>
    </row>
    <row r="49" spans="2:10" x14ac:dyDescent="0.25">
      <c r="B49" t="s">
        <v>379</v>
      </c>
    </row>
    <row r="50" spans="2:10" x14ac:dyDescent="0.25">
      <c r="C50">
        <v>1979</v>
      </c>
      <c r="D50">
        <v>1989</v>
      </c>
      <c r="E50">
        <v>1993</v>
      </c>
      <c r="F50">
        <v>1998</v>
      </c>
      <c r="G50">
        <v>1999</v>
      </c>
      <c r="H50">
        <v>2003</v>
      </c>
      <c r="I50">
        <v>2008</v>
      </c>
      <c r="J50">
        <v>2009</v>
      </c>
    </row>
    <row r="51" spans="2:10" x14ac:dyDescent="0.25">
      <c r="B51" t="s">
        <v>375</v>
      </c>
      <c r="C51">
        <v>157</v>
      </c>
      <c r="D51">
        <v>125</v>
      </c>
      <c r="G51">
        <v>116</v>
      </c>
      <c r="J51">
        <v>79</v>
      </c>
    </row>
    <row r="52" spans="2:10" x14ac:dyDescent="0.25">
      <c r="B52" t="s">
        <v>376</v>
      </c>
      <c r="D52">
        <v>89</v>
      </c>
      <c r="E52">
        <v>96</v>
      </c>
      <c r="F52">
        <v>105</v>
      </c>
      <c r="H52">
        <v>115</v>
      </c>
      <c r="I52">
        <v>74</v>
      </c>
    </row>
    <row r="54" spans="2:10" x14ac:dyDescent="0.25">
      <c r="B54" t="s">
        <v>380</v>
      </c>
    </row>
    <row r="55" spans="2:10" x14ac:dyDescent="0.25">
      <c r="C55">
        <v>1979</v>
      </c>
      <c r="D55">
        <v>1989</v>
      </c>
      <c r="E55">
        <v>1993</v>
      </c>
      <c r="F55">
        <v>1998</v>
      </c>
      <c r="G55">
        <v>1999</v>
      </c>
      <c r="H55">
        <v>2003</v>
      </c>
      <c r="I55">
        <v>2008</v>
      </c>
      <c r="J55">
        <v>2009</v>
      </c>
    </row>
    <row r="56" spans="2:10" x14ac:dyDescent="0.25">
      <c r="B56" t="s">
        <v>375</v>
      </c>
      <c r="C56">
        <v>88</v>
      </c>
      <c r="D56">
        <v>70</v>
      </c>
      <c r="G56">
        <v>77</v>
      </c>
      <c r="J56">
        <v>54</v>
      </c>
    </row>
    <row r="57" spans="2:10" x14ac:dyDescent="0.25">
      <c r="B57" t="s">
        <v>376</v>
      </c>
      <c r="D57">
        <v>63</v>
      </c>
      <c r="E57">
        <v>62</v>
      </c>
      <c r="F57">
        <v>71</v>
      </c>
      <c r="H57">
        <v>77</v>
      </c>
      <c r="I57">
        <v>52</v>
      </c>
    </row>
    <row r="59" spans="2:10" x14ac:dyDescent="0.25">
      <c r="B59" t="s">
        <v>398</v>
      </c>
      <c r="C59" t="s">
        <v>158</v>
      </c>
      <c r="F59" t="s">
        <v>28</v>
      </c>
    </row>
    <row r="60" spans="2:10" x14ac:dyDescent="0.25">
      <c r="C60" t="s">
        <v>222</v>
      </c>
      <c r="D60" t="s">
        <v>223</v>
      </c>
      <c r="F60" t="s">
        <v>222</v>
      </c>
      <c r="G60" t="s">
        <v>223</v>
      </c>
    </row>
    <row r="61" spans="2:10" x14ac:dyDescent="0.25">
      <c r="B61" t="s">
        <v>377</v>
      </c>
      <c r="C61">
        <v>139</v>
      </c>
      <c r="D61">
        <v>172</v>
      </c>
      <c r="F61">
        <v>70</v>
      </c>
      <c r="G61">
        <v>87</v>
      </c>
      <c r="I61">
        <f>C61/F61</f>
        <v>1.9857142857142858</v>
      </c>
      <c r="J61">
        <f>D61/G61</f>
        <v>1.9770114942528736</v>
      </c>
    </row>
    <row r="62" spans="2:10" x14ac:dyDescent="0.25">
      <c r="B62" t="s">
        <v>378</v>
      </c>
      <c r="C62">
        <v>89</v>
      </c>
      <c r="D62">
        <v>113</v>
      </c>
      <c r="F62">
        <v>48</v>
      </c>
      <c r="G62">
        <v>60</v>
      </c>
      <c r="I62">
        <f>C62/F62</f>
        <v>1.8541666666666667</v>
      </c>
      <c r="J62">
        <f>D62/G62</f>
        <v>1.8833333333333333</v>
      </c>
    </row>
    <row r="64" spans="2:10" x14ac:dyDescent="0.25">
      <c r="B64" t="s">
        <v>381</v>
      </c>
    </row>
    <row r="65" spans="2:13" x14ac:dyDescent="0.25">
      <c r="C65" t="s">
        <v>222</v>
      </c>
      <c r="D65" t="s">
        <v>217</v>
      </c>
    </row>
    <row r="66" spans="2:13" x14ac:dyDescent="0.25">
      <c r="B66" t="s">
        <v>153</v>
      </c>
      <c r="C66">
        <v>313</v>
      </c>
      <c r="D66">
        <v>348</v>
      </c>
      <c r="J66" s="6">
        <f>1-K72</f>
        <v>0.94989999999999997</v>
      </c>
    </row>
    <row r="67" spans="2:13" x14ac:dyDescent="0.25">
      <c r="B67" t="s">
        <v>158</v>
      </c>
      <c r="C67">
        <v>396</v>
      </c>
      <c r="D67">
        <v>456</v>
      </c>
      <c r="J67">
        <f>K73*J66</f>
        <v>5.2244499999999994E-3</v>
      </c>
    </row>
    <row r="68" spans="2:13" x14ac:dyDescent="0.25">
      <c r="J68" s="6">
        <f>K72+J67</f>
        <v>5.5324449999999997E-2</v>
      </c>
    </row>
    <row r="69" spans="2:13" x14ac:dyDescent="0.25">
      <c r="B69" t="s">
        <v>363</v>
      </c>
    </row>
    <row r="70" spans="2:13" x14ac:dyDescent="0.25">
      <c r="B70" t="s">
        <v>158</v>
      </c>
      <c r="F70" t="s">
        <v>1017</v>
      </c>
      <c r="J70" s="37" t="s">
        <v>1016</v>
      </c>
      <c r="K70" s="37"/>
      <c r="L70" s="37"/>
    </row>
    <row r="71" spans="2:13" x14ac:dyDescent="0.25">
      <c r="B71" t="s">
        <v>80</v>
      </c>
      <c r="C71" t="s">
        <v>1310</v>
      </c>
      <c r="D71" t="s">
        <v>1311</v>
      </c>
      <c r="E71" t="s">
        <v>1314</v>
      </c>
      <c r="F71" t="s">
        <v>246</v>
      </c>
      <c r="G71" t="s">
        <v>1312</v>
      </c>
      <c r="H71" t="s">
        <v>1313</v>
      </c>
      <c r="I71" s="37" t="s">
        <v>1315</v>
      </c>
      <c r="J71" s="37" t="s">
        <v>246</v>
      </c>
      <c r="K71" s="37" t="s">
        <v>215</v>
      </c>
      <c r="L71" s="37" t="s">
        <v>217</v>
      </c>
    </row>
    <row r="72" spans="2:13" x14ac:dyDescent="0.25">
      <c r="B72" t="s">
        <v>341</v>
      </c>
      <c r="C72" s="6">
        <v>9.5000000000000001E-2</v>
      </c>
      <c r="D72" s="6">
        <v>0.1226</v>
      </c>
      <c r="E72" s="6">
        <f>C72/K72</f>
        <v>1.8962075848303395</v>
      </c>
      <c r="F72" t="s">
        <v>341</v>
      </c>
      <c r="G72" s="6">
        <v>5.0099999999999999E-2</v>
      </c>
      <c r="H72" s="6">
        <v>6.3200000000000006E-2</v>
      </c>
      <c r="I72">
        <f>D72/L72</f>
        <v>1.9398734177215189</v>
      </c>
      <c r="J72" s="37" t="s">
        <v>341</v>
      </c>
      <c r="K72" s="6">
        <v>5.0099999999999999E-2</v>
      </c>
      <c r="L72" s="6">
        <v>6.3200000000000006E-2</v>
      </c>
      <c r="M72" s="6">
        <v>1</v>
      </c>
    </row>
    <row r="73" spans="2:13" x14ac:dyDescent="0.25">
      <c r="B73" s="15" t="s">
        <v>342</v>
      </c>
      <c r="C73" s="6">
        <v>1.29E-2</v>
      </c>
      <c r="D73" s="6">
        <v>1.52E-2</v>
      </c>
      <c r="E73" s="6">
        <f t="shared" ref="E73:E89" si="0">C73/K73</f>
        <v>2.3454545454545457</v>
      </c>
      <c r="F73" s="15" t="s">
        <v>342</v>
      </c>
      <c r="G73" s="25">
        <v>1.4420000000000002E-2</v>
      </c>
      <c r="H73" s="25">
        <v>1.8000000000000002E-2</v>
      </c>
      <c r="I73" s="37">
        <f t="shared" ref="I73:I89" si="1">D73/L73</f>
        <v>2.2686567164179103</v>
      </c>
      <c r="J73" s="22" t="s">
        <v>342</v>
      </c>
      <c r="K73" s="6">
        <v>5.4999999999999997E-3</v>
      </c>
      <c r="L73" s="6">
        <v>6.7000000000000002E-3</v>
      </c>
      <c r="M73">
        <v>1</v>
      </c>
    </row>
    <row r="74" spans="2:13" x14ac:dyDescent="0.25">
      <c r="B74" s="15" t="s">
        <v>343</v>
      </c>
      <c r="C74" s="6">
        <v>2.3999999999999998E-3</v>
      </c>
      <c r="D74" s="6">
        <v>3.3999999999999998E-3</v>
      </c>
      <c r="E74" s="6">
        <f t="shared" si="0"/>
        <v>1.0434782608695652</v>
      </c>
      <c r="F74" s="15" t="s">
        <v>343</v>
      </c>
      <c r="G74" s="6">
        <v>2.3E-3</v>
      </c>
      <c r="H74" s="6">
        <v>3.0000000000000001E-3</v>
      </c>
      <c r="I74" s="37">
        <f t="shared" si="1"/>
        <v>1.1333333333333333</v>
      </c>
      <c r="J74" s="22" t="s">
        <v>343</v>
      </c>
      <c r="K74" s="6">
        <v>2.3E-3</v>
      </c>
      <c r="L74" s="6">
        <v>3.0000000000000001E-3</v>
      </c>
      <c r="M74" s="6">
        <v>1</v>
      </c>
    </row>
    <row r="75" spans="2:13" x14ac:dyDescent="0.25">
      <c r="B75" s="15" t="s">
        <v>344</v>
      </c>
      <c r="C75" s="6">
        <v>2.8999999999999998E-3</v>
      </c>
      <c r="D75" s="6">
        <v>3.8999999999999998E-3</v>
      </c>
      <c r="E75" s="6">
        <f t="shared" si="0"/>
        <v>1.2083333333333333</v>
      </c>
      <c r="F75" s="15" t="s">
        <v>344</v>
      </c>
      <c r="G75" s="6">
        <v>2.3999999999999998E-3</v>
      </c>
      <c r="H75" s="6">
        <v>2.8999999999999998E-3</v>
      </c>
      <c r="I75" s="37">
        <f t="shared" si="1"/>
        <v>1.3448275862068966</v>
      </c>
      <c r="J75" s="22" t="s">
        <v>344</v>
      </c>
      <c r="K75" s="6">
        <v>2.3999999999999998E-3</v>
      </c>
      <c r="L75" s="6">
        <v>2.8999999999999998E-3</v>
      </c>
      <c r="M75" s="6">
        <v>1</v>
      </c>
    </row>
    <row r="76" spans="2:13" x14ac:dyDescent="0.25">
      <c r="B76" s="15" t="s">
        <v>345</v>
      </c>
      <c r="C76" s="6">
        <v>1.9E-3</v>
      </c>
      <c r="D76" s="6">
        <v>2.7000000000000001E-3</v>
      </c>
      <c r="E76" s="6">
        <f t="shared" si="0"/>
        <v>1.0555555555555556</v>
      </c>
      <c r="F76" s="15" t="s">
        <v>345</v>
      </c>
      <c r="G76" s="6">
        <v>1.8E-3</v>
      </c>
      <c r="H76" s="6">
        <v>2.5000000000000001E-3</v>
      </c>
      <c r="I76" s="37">
        <f t="shared" si="1"/>
        <v>1.08</v>
      </c>
      <c r="J76" s="22" t="s">
        <v>345</v>
      </c>
      <c r="K76" s="6">
        <v>1.8E-3</v>
      </c>
      <c r="L76" s="6">
        <v>2.5000000000000001E-3</v>
      </c>
      <c r="M76" s="6">
        <v>1</v>
      </c>
    </row>
    <row r="77" spans="2:13" x14ac:dyDescent="0.25">
      <c r="B77" s="15" t="s">
        <v>346</v>
      </c>
      <c r="C77" s="6">
        <v>3.5999999999999999E-3</v>
      </c>
      <c r="D77" s="6">
        <v>3.8E-3</v>
      </c>
      <c r="E77" s="6">
        <f t="shared" si="0"/>
        <v>1.2</v>
      </c>
      <c r="F77" s="15" t="s">
        <v>346</v>
      </c>
      <c r="G77" s="6">
        <v>3.0000000000000001E-3</v>
      </c>
      <c r="H77" s="6">
        <v>3.5000000000000001E-3</v>
      </c>
      <c r="I77" s="37">
        <f t="shared" si="1"/>
        <v>1.0857142857142856</v>
      </c>
      <c r="J77" s="22" t="s">
        <v>346</v>
      </c>
      <c r="K77" s="6">
        <v>3.0000000000000001E-3</v>
      </c>
      <c r="L77" s="6">
        <v>3.5000000000000001E-3</v>
      </c>
      <c r="M77" s="6">
        <v>1</v>
      </c>
    </row>
    <row r="78" spans="2:13" x14ac:dyDescent="0.25">
      <c r="B78" s="15" t="s">
        <v>347</v>
      </c>
      <c r="C78" s="6">
        <v>7.4000000000000003E-3</v>
      </c>
      <c r="D78" s="6">
        <v>6.4000000000000003E-3</v>
      </c>
      <c r="E78" s="6">
        <f t="shared" si="0"/>
        <v>1.3214285714285714</v>
      </c>
      <c r="F78" s="15" t="s">
        <v>347</v>
      </c>
      <c r="G78" s="6">
        <v>5.5999999999999999E-3</v>
      </c>
      <c r="H78" s="6">
        <v>4.7999999999999996E-3</v>
      </c>
      <c r="I78" s="37">
        <f t="shared" si="1"/>
        <v>1.3333333333333335</v>
      </c>
      <c r="J78" s="22" t="s">
        <v>347</v>
      </c>
      <c r="K78" s="6">
        <v>5.5999999999999999E-3</v>
      </c>
      <c r="L78" s="6">
        <v>4.7999999999999996E-3</v>
      </c>
      <c r="M78" s="6">
        <v>1</v>
      </c>
    </row>
    <row r="79" spans="2:13" x14ac:dyDescent="0.25">
      <c r="B79" s="15" t="s">
        <v>348</v>
      </c>
      <c r="C79" s="6">
        <v>1.47E-2</v>
      </c>
      <c r="D79" s="6">
        <v>1.18E-2</v>
      </c>
      <c r="E79" s="6">
        <f t="shared" si="0"/>
        <v>1.3738317757009346</v>
      </c>
      <c r="F79" s="15" t="s">
        <v>348</v>
      </c>
      <c r="G79" s="6">
        <v>1.0699999999999999E-2</v>
      </c>
      <c r="H79" s="6">
        <v>7.7000000000000002E-3</v>
      </c>
      <c r="I79" s="37">
        <f t="shared" si="1"/>
        <v>1.5324675324675323</v>
      </c>
      <c r="J79" s="22" t="s">
        <v>348</v>
      </c>
      <c r="K79" s="6">
        <v>1.0699999999999999E-2</v>
      </c>
      <c r="L79" s="6">
        <v>7.7000000000000002E-3</v>
      </c>
      <c r="M79" s="6">
        <v>1</v>
      </c>
    </row>
    <row r="80" spans="2:13" x14ac:dyDescent="0.25">
      <c r="B80" s="15" t="s">
        <v>349</v>
      </c>
      <c r="C80" s="6">
        <v>1.9199999999999998E-2</v>
      </c>
      <c r="D80" s="6">
        <v>2.06E-2</v>
      </c>
      <c r="E80" s="6">
        <f t="shared" si="0"/>
        <v>1.3913043478260869</v>
      </c>
      <c r="F80" s="15" t="s">
        <v>349</v>
      </c>
      <c r="G80" s="6">
        <v>1.38E-2</v>
      </c>
      <c r="H80" s="6">
        <v>1.2200000000000001E-2</v>
      </c>
      <c r="I80" s="37">
        <f t="shared" si="1"/>
        <v>1.6885245901639343</v>
      </c>
      <c r="J80" s="22" t="s">
        <v>349</v>
      </c>
      <c r="K80" s="6">
        <v>1.38E-2</v>
      </c>
      <c r="L80" s="6">
        <v>1.2200000000000001E-2</v>
      </c>
      <c r="M80" s="6">
        <v>1</v>
      </c>
    </row>
    <row r="81" spans="1:50" x14ac:dyDescent="0.25">
      <c r="B81" s="15" t="s">
        <v>350</v>
      </c>
      <c r="C81" s="6">
        <v>1.4500000000000001E-2</v>
      </c>
      <c r="D81" s="6">
        <v>2.1100000000000001E-2</v>
      </c>
      <c r="E81" s="6">
        <f t="shared" si="0"/>
        <v>1.3181818181818183</v>
      </c>
      <c r="F81" s="15" t="s">
        <v>350</v>
      </c>
      <c r="G81" s="6">
        <v>1.0999999999999999E-2</v>
      </c>
      <c r="H81" s="6">
        <v>1.32E-2</v>
      </c>
      <c r="I81" s="37">
        <f t="shared" si="1"/>
        <v>1.5984848484848486</v>
      </c>
      <c r="J81" s="22" t="s">
        <v>350</v>
      </c>
      <c r="K81" s="6">
        <v>1.0999999999999999E-2</v>
      </c>
      <c r="L81" s="6">
        <v>1.32E-2</v>
      </c>
      <c r="M81" s="6">
        <v>1</v>
      </c>
    </row>
    <row r="82" spans="1:50" x14ac:dyDescent="0.25">
      <c r="B82" s="15" t="s">
        <v>351</v>
      </c>
      <c r="C82" s="6">
        <v>1.29E-2</v>
      </c>
      <c r="D82" s="6">
        <v>2.1499999999999998E-2</v>
      </c>
      <c r="E82" s="6">
        <f t="shared" si="0"/>
        <v>1.2772277227722773</v>
      </c>
      <c r="F82" s="15" t="s">
        <v>351</v>
      </c>
      <c r="G82" s="6">
        <v>1.01E-2</v>
      </c>
      <c r="H82" s="6">
        <v>1.4E-2</v>
      </c>
      <c r="I82" s="37">
        <f t="shared" si="1"/>
        <v>1.5357142857142856</v>
      </c>
      <c r="J82" s="22" t="s">
        <v>351</v>
      </c>
      <c r="K82" s="6">
        <v>1.01E-2</v>
      </c>
      <c r="L82" s="6">
        <v>1.4E-2</v>
      </c>
      <c r="M82" s="6">
        <v>1</v>
      </c>
    </row>
    <row r="83" spans="1:50" x14ac:dyDescent="0.25">
      <c r="B83" s="15" t="s">
        <v>352</v>
      </c>
      <c r="C83" s="6">
        <v>1.0200000000000001E-2</v>
      </c>
      <c r="D83" s="6">
        <v>1.7100000000000001E-2</v>
      </c>
      <c r="E83" s="6">
        <f t="shared" si="0"/>
        <v>1.1333333333333335</v>
      </c>
      <c r="F83" s="15" t="s">
        <v>352</v>
      </c>
      <c r="G83" s="6">
        <v>8.9999999999999993E-3</v>
      </c>
      <c r="H83" s="6">
        <v>1.3299999999999999E-2</v>
      </c>
      <c r="I83" s="37">
        <f t="shared" si="1"/>
        <v>1.2857142857142858</v>
      </c>
      <c r="J83" s="22" t="s">
        <v>352</v>
      </c>
      <c r="K83" s="6">
        <v>8.9999999999999993E-3</v>
      </c>
      <c r="L83" s="6">
        <v>1.3299999999999999E-2</v>
      </c>
      <c r="M83" s="6">
        <v>1</v>
      </c>
    </row>
    <row r="84" spans="1:50" x14ac:dyDescent="0.25">
      <c r="B84" s="15" t="s">
        <v>353</v>
      </c>
      <c r="C84" s="6">
        <v>1.12E-2</v>
      </c>
      <c r="D84" s="6">
        <v>1.6799999999999999E-2</v>
      </c>
      <c r="E84" s="6">
        <f t="shared" si="0"/>
        <v>1.0980392156862744</v>
      </c>
      <c r="F84" s="15" t="s">
        <v>353</v>
      </c>
      <c r="G84" s="6">
        <v>1.0200000000000001E-2</v>
      </c>
      <c r="H84" s="6">
        <v>1.46E-2</v>
      </c>
      <c r="I84" s="37">
        <f t="shared" si="1"/>
        <v>1.1506849315068493</v>
      </c>
      <c r="J84" s="22" t="s">
        <v>353</v>
      </c>
      <c r="K84" s="6">
        <v>1.0200000000000001E-2</v>
      </c>
      <c r="L84" s="6">
        <v>1.46E-2</v>
      </c>
      <c r="M84" s="6">
        <v>1</v>
      </c>
    </row>
    <row r="85" spans="1:50" x14ac:dyDescent="0.25">
      <c r="B85" s="15" t="s">
        <v>354</v>
      </c>
      <c r="C85" s="6">
        <v>1.5299999999999999E-2</v>
      </c>
      <c r="D85" s="6">
        <v>2.1600000000000001E-2</v>
      </c>
      <c r="E85" s="6">
        <f t="shared" si="0"/>
        <v>1.047945205479452</v>
      </c>
      <c r="F85" s="15" t="s">
        <v>354</v>
      </c>
      <c r="G85" s="6">
        <v>1.46E-2</v>
      </c>
      <c r="H85" s="6">
        <v>2.0299999999999999E-2</v>
      </c>
      <c r="I85" s="37">
        <f t="shared" si="1"/>
        <v>1.0640394088669951</v>
      </c>
      <c r="J85" s="22" t="s">
        <v>354</v>
      </c>
      <c r="K85" s="6">
        <v>1.46E-2</v>
      </c>
      <c r="L85" s="6">
        <v>2.0299999999999999E-2</v>
      </c>
      <c r="M85" s="6">
        <v>1</v>
      </c>
    </row>
    <row r="86" spans="1:50" x14ac:dyDescent="0.25">
      <c r="B86" s="15" t="s">
        <v>355</v>
      </c>
      <c r="C86" s="6">
        <v>2.41E-2</v>
      </c>
      <c r="D86" s="6">
        <v>3.1399999999999997E-2</v>
      </c>
      <c r="E86" s="6">
        <f t="shared" si="0"/>
        <v>1.0432900432900434</v>
      </c>
      <c r="F86" s="15" t="s">
        <v>355</v>
      </c>
      <c r="G86" s="6">
        <v>2.3099999999999999E-2</v>
      </c>
      <c r="H86" s="6">
        <v>0.03</v>
      </c>
      <c r="I86" s="37">
        <f t="shared" si="1"/>
        <v>1.0466666666666666</v>
      </c>
      <c r="J86" s="22" t="s">
        <v>355</v>
      </c>
      <c r="K86" s="6">
        <v>2.3099999999999999E-2</v>
      </c>
      <c r="L86" s="6">
        <v>0.03</v>
      </c>
      <c r="M86" s="6">
        <v>1</v>
      </c>
    </row>
    <row r="87" spans="1:50" x14ac:dyDescent="0.25">
      <c r="B87" s="15" t="s">
        <v>356</v>
      </c>
      <c r="C87" s="6">
        <v>4.0399999999999998E-2</v>
      </c>
      <c r="D87" s="6">
        <v>4.7600000000000003E-2</v>
      </c>
      <c r="E87" s="6">
        <f t="shared" si="0"/>
        <v>1.0687830687830688</v>
      </c>
      <c r="F87" s="15" t="s">
        <v>356</v>
      </c>
      <c r="G87" s="6">
        <v>3.78E-2</v>
      </c>
      <c r="H87" s="6">
        <v>4.6600000000000003E-2</v>
      </c>
      <c r="I87" s="37">
        <f t="shared" si="1"/>
        <v>1.0214592274678111</v>
      </c>
      <c r="J87" s="22" t="s">
        <v>356</v>
      </c>
      <c r="K87" s="6">
        <v>3.78E-2</v>
      </c>
      <c r="L87" s="6">
        <v>4.6600000000000003E-2</v>
      </c>
      <c r="M87" s="6">
        <v>1</v>
      </c>
    </row>
    <row r="88" spans="1:50" x14ac:dyDescent="0.25">
      <c r="B88" s="15" t="s">
        <v>357</v>
      </c>
      <c r="C88" s="6">
        <v>7.1400000000000005E-2</v>
      </c>
      <c r="D88" s="6">
        <v>7.5899999999999995E-2</v>
      </c>
      <c r="E88" s="6">
        <f t="shared" si="0"/>
        <v>1.1315372424722663</v>
      </c>
      <c r="F88" s="15" t="s">
        <v>357</v>
      </c>
      <c r="G88" s="6">
        <v>6.3100000000000003E-2</v>
      </c>
      <c r="H88" s="6">
        <v>7.4999999999999997E-2</v>
      </c>
      <c r="I88" s="37">
        <f t="shared" si="1"/>
        <v>1.012</v>
      </c>
      <c r="J88" s="22" t="s">
        <v>357</v>
      </c>
      <c r="K88" s="6">
        <v>6.3100000000000003E-2</v>
      </c>
      <c r="L88" s="6">
        <v>7.4999999999999997E-2</v>
      </c>
      <c r="M88" s="6">
        <v>1</v>
      </c>
    </row>
    <row r="89" spans="1:50" x14ac:dyDescent="0.25">
      <c r="B89" s="15" t="s">
        <v>328</v>
      </c>
      <c r="C89" s="6">
        <v>0.2152</v>
      </c>
      <c r="D89" s="6">
        <v>0.22819999999999999</v>
      </c>
      <c r="E89" s="6">
        <f t="shared" si="0"/>
        <v>1.0112781954887218</v>
      </c>
      <c r="F89" s="15" t="s">
        <v>328</v>
      </c>
      <c r="G89" s="6">
        <v>0.21279999999999999</v>
      </c>
      <c r="H89" s="6">
        <v>0.2495</v>
      </c>
      <c r="I89" s="37">
        <f t="shared" si="1"/>
        <v>0.91462925851703403</v>
      </c>
      <c r="J89" s="22" t="s">
        <v>328</v>
      </c>
      <c r="K89" s="6">
        <v>0.21279999999999999</v>
      </c>
      <c r="L89" s="6">
        <v>0.2495</v>
      </c>
      <c r="M89" s="6">
        <v>11</v>
      </c>
    </row>
    <row r="91" spans="1:50" x14ac:dyDescent="0.25">
      <c r="U91" t="s">
        <v>1229</v>
      </c>
      <c r="AF91" t="s">
        <v>1230</v>
      </c>
    </row>
    <row r="92" spans="1:50" x14ac:dyDescent="0.25">
      <c r="A92" s="2" t="s">
        <v>1071</v>
      </c>
      <c r="R92" t="s">
        <v>1231</v>
      </c>
      <c r="U92" t="s">
        <v>1226</v>
      </c>
      <c r="V92">
        <v>0.5</v>
      </c>
      <c r="W92" t="s">
        <v>1225</v>
      </c>
      <c r="X92">
        <v>0.4</v>
      </c>
      <c r="Y92">
        <v>2015</v>
      </c>
      <c r="Z92">
        <v>0.25</v>
      </c>
      <c r="AA92" t="s">
        <v>1227</v>
      </c>
      <c r="AB92">
        <v>0.15</v>
      </c>
      <c r="AC92" t="s">
        <v>1228</v>
      </c>
      <c r="AD92">
        <v>0.15</v>
      </c>
      <c r="AF92" s="37" t="s">
        <v>1226</v>
      </c>
      <c r="AG92" s="37"/>
      <c r="AH92" s="37" t="s">
        <v>1225</v>
      </c>
      <c r="AI92" s="37"/>
      <c r="AJ92" s="37">
        <v>2015</v>
      </c>
      <c r="AK92" s="37"/>
      <c r="AL92" s="37" t="s">
        <v>1227</v>
      </c>
      <c r="AM92" s="37"/>
      <c r="AN92" s="37" t="s">
        <v>1228</v>
      </c>
      <c r="AO92" s="37"/>
      <c r="AP92" s="37"/>
      <c r="AQ92" s="37"/>
      <c r="AR92" s="37"/>
      <c r="AS92" s="37"/>
      <c r="AT92" s="37"/>
      <c r="AU92" s="37"/>
      <c r="AV92" s="37"/>
      <c r="AW92" s="37"/>
      <c r="AX92" s="37"/>
    </row>
    <row r="93" spans="1:50" x14ac:dyDescent="0.25">
      <c r="B93" s="64" t="s">
        <v>1040</v>
      </c>
      <c r="C93" s="64" t="s">
        <v>217</v>
      </c>
      <c r="D93" s="64" t="s">
        <v>215</v>
      </c>
      <c r="E93" s="64"/>
      <c r="F93" s="64" t="s">
        <v>1074</v>
      </c>
      <c r="G93" s="64" t="s">
        <v>217</v>
      </c>
      <c r="H93" s="64" t="s">
        <v>215</v>
      </c>
      <c r="I93" s="64"/>
      <c r="J93" s="64">
        <v>2000</v>
      </c>
      <c r="K93" s="64" t="s">
        <v>223</v>
      </c>
      <c r="L93" s="64" t="s">
        <v>222</v>
      </c>
      <c r="M93" s="64"/>
      <c r="N93" s="64">
        <v>2020</v>
      </c>
      <c r="O93" s="64" t="s">
        <v>223</v>
      </c>
      <c r="P93" s="64" t="s">
        <v>222</v>
      </c>
      <c r="R93" s="37" t="s">
        <v>1226</v>
      </c>
      <c r="S93" s="37">
        <v>1.5</v>
      </c>
      <c r="U93" t="s">
        <v>217</v>
      </c>
      <c r="V93" t="s">
        <v>215</v>
      </c>
      <c r="W93" s="37" t="s">
        <v>217</v>
      </c>
      <c r="X93" s="37" t="s">
        <v>215</v>
      </c>
      <c r="Y93" s="37" t="s">
        <v>217</v>
      </c>
      <c r="Z93" s="37" t="s">
        <v>215</v>
      </c>
      <c r="AA93" s="37" t="s">
        <v>223</v>
      </c>
      <c r="AB93" s="37" t="s">
        <v>222</v>
      </c>
      <c r="AC93" t="s">
        <v>217</v>
      </c>
      <c r="AD93" t="s">
        <v>215</v>
      </c>
      <c r="AF93" s="37" t="s">
        <v>217</v>
      </c>
      <c r="AG93" s="37" t="s">
        <v>215</v>
      </c>
      <c r="AH93" s="37" t="s">
        <v>217</v>
      </c>
      <c r="AI93" s="37" t="s">
        <v>215</v>
      </c>
      <c r="AJ93" s="37" t="s">
        <v>217</v>
      </c>
      <c r="AK93" s="37" t="s">
        <v>215</v>
      </c>
      <c r="AL93" s="37" t="s">
        <v>223</v>
      </c>
      <c r="AM93" s="37" t="s">
        <v>222</v>
      </c>
      <c r="AN93" s="37" t="s">
        <v>217</v>
      </c>
      <c r="AO93" s="37" t="s">
        <v>215</v>
      </c>
      <c r="AP93" s="37"/>
      <c r="AQ93" s="37"/>
      <c r="AR93" s="37"/>
      <c r="AS93" s="37"/>
      <c r="AT93" s="37"/>
      <c r="AU93" s="37"/>
      <c r="AV93" s="37"/>
      <c r="AW93" s="37"/>
      <c r="AX93" s="37"/>
    </row>
    <row r="94" spans="1:50" x14ac:dyDescent="0.25">
      <c r="B94" s="64" t="s">
        <v>458</v>
      </c>
      <c r="C94" s="64">
        <f>E114</f>
        <v>0.103242926</v>
      </c>
      <c r="D94" s="64">
        <f>E118</f>
        <v>8.7651773500000002E-2</v>
      </c>
      <c r="E94" s="64"/>
      <c r="F94" s="64"/>
      <c r="G94" s="64">
        <f>J114</f>
        <v>4.7225124899999998E-2</v>
      </c>
      <c r="H94" s="64">
        <f>J118</f>
        <v>3.9540063350000001E-2</v>
      </c>
      <c r="I94" s="64"/>
      <c r="J94" s="64"/>
      <c r="K94" s="64">
        <f>O114</f>
        <v>7.1020409009122071E-2</v>
      </c>
      <c r="L94" s="64">
        <f>O118</f>
        <v>6.1940175698895428E-2</v>
      </c>
      <c r="M94" s="64"/>
      <c r="N94" s="64"/>
      <c r="O94" s="64">
        <f>S114</f>
        <v>3.6037023506665239E-2</v>
      </c>
      <c r="P94" s="64">
        <f>S118</f>
        <v>2.6945755989701607E-2</v>
      </c>
      <c r="R94" s="37" t="s">
        <v>1225</v>
      </c>
      <c r="S94" s="37">
        <v>1.4</v>
      </c>
      <c r="U94" s="41">
        <v>1.99289988E-2</v>
      </c>
      <c r="V94" s="41">
        <v>1.7320021075000001E-2</v>
      </c>
      <c r="W94" s="41">
        <v>1.5943199040000001E-2</v>
      </c>
      <c r="X94" s="41">
        <v>1.3856016860000001E-2</v>
      </c>
      <c r="Y94" s="41">
        <v>9.9644994000000001E-3</v>
      </c>
      <c r="Z94" s="41">
        <v>8.6600105375000003E-3</v>
      </c>
      <c r="AA94" s="41">
        <v>5.9786996399999997E-3</v>
      </c>
      <c r="AB94" s="41">
        <v>5.1960063225000002E-3</v>
      </c>
      <c r="AC94" s="59">
        <v>2.8920026625E-3</v>
      </c>
      <c r="AD94" s="59">
        <v>2.185839045E-3</v>
      </c>
      <c r="AF94" s="6">
        <v>5.97869964E-2</v>
      </c>
      <c r="AG94" s="6">
        <v>5.1960063225000006E-2</v>
      </c>
      <c r="AH94" s="6">
        <v>5.5801196640000002E-2</v>
      </c>
      <c r="AI94" s="6">
        <v>4.8496059010000002E-2</v>
      </c>
      <c r="AJ94" s="6">
        <v>4.9822497E-2</v>
      </c>
      <c r="AK94" s="6">
        <v>4.33000526875E-2</v>
      </c>
      <c r="AL94" s="6">
        <v>4.5836697240000002E-2</v>
      </c>
      <c r="AM94" s="6">
        <v>3.9836048472500003E-2</v>
      </c>
      <c r="AN94" s="6">
        <v>2.21720204125E-2</v>
      </c>
      <c r="AO94" s="6">
        <v>5.4408308772500004E-2</v>
      </c>
      <c r="AR94" s="37"/>
      <c r="AT94" s="37"/>
    </row>
    <row r="95" spans="1:50" x14ac:dyDescent="0.25">
      <c r="B95" s="64" t="s">
        <v>343</v>
      </c>
      <c r="C95" s="64">
        <v>9.4971746999999995E-3</v>
      </c>
      <c r="D95" s="64">
        <v>9.1480569999999994E-3</v>
      </c>
      <c r="E95" s="64"/>
      <c r="F95" s="64"/>
      <c r="G95" s="64">
        <v>2.8187477000000002E-3</v>
      </c>
      <c r="H95" s="64">
        <v>2.3962810000000001E-3</v>
      </c>
      <c r="I95" s="64"/>
      <c r="J95" s="64"/>
      <c r="K95" s="64">
        <v>4.3729016000000004E-3</v>
      </c>
      <c r="L95" s="64">
        <v>2.5943702E-3</v>
      </c>
      <c r="M95" s="64"/>
      <c r="N95" s="64"/>
      <c r="O95" s="64">
        <v>8.6272303999999998E-4</v>
      </c>
      <c r="P95" s="64">
        <v>6.4785845000000001E-4</v>
      </c>
      <c r="R95" s="37">
        <v>2015</v>
      </c>
      <c r="S95" s="37">
        <v>1.25</v>
      </c>
      <c r="U95" s="41">
        <v>2.1864508000000002E-3</v>
      </c>
      <c r="V95" s="41">
        <v>1.2971851E-3</v>
      </c>
      <c r="W95" s="41">
        <v>1.7491606400000003E-3</v>
      </c>
      <c r="X95" s="41">
        <v>1.0377480800000001E-3</v>
      </c>
      <c r="Y95" s="41">
        <v>1.0932254000000001E-3</v>
      </c>
      <c r="Z95" s="41">
        <v>6.4859255E-4</v>
      </c>
      <c r="AA95" s="41">
        <v>6.5593524000000009E-4</v>
      </c>
      <c r="AB95" s="41">
        <v>3.8915552999999997E-4</v>
      </c>
      <c r="AC95" s="59">
        <v>1.2940845599999999E-4</v>
      </c>
      <c r="AD95" s="59">
        <v>9.7178767499999993E-5</v>
      </c>
      <c r="AF95" s="6">
        <v>6.5593524000000011E-3</v>
      </c>
      <c r="AG95" s="6">
        <v>3.8915553000000002E-3</v>
      </c>
      <c r="AH95" s="6">
        <v>6.1220622400000009E-3</v>
      </c>
      <c r="AI95" s="6">
        <v>3.6321182799999999E-3</v>
      </c>
      <c r="AJ95" s="6">
        <v>5.4661270000000003E-3</v>
      </c>
      <c r="AK95" s="6">
        <v>3.2429627499999999E-3</v>
      </c>
      <c r="AL95" s="6">
        <v>5.0288368400000002E-3</v>
      </c>
      <c r="AM95" s="6">
        <v>2.98352573E-3</v>
      </c>
      <c r="AN95" s="6">
        <v>9.9213149600000002E-4</v>
      </c>
      <c r="AO95" s="6">
        <v>3.6313841799999998E-3</v>
      </c>
      <c r="AP95" s="37"/>
      <c r="AQ95" s="37"/>
      <c r="AR95" s="37"/>
      <c r="AS95" s="37"/>
      <c r="AT95" s="37"/>
    </row>
    <row r="96" spans="1:50" x14ac:dyDescent="0.25">
      <c r="B96" s="64" t="s">
        <v>344</v>
      </c>
      <c r="C96" s="64">
        <v>5.1269298E-3</v>
      </c>
      <c r="D96" s="64">
        <v>5.3875301999999998E-3</v>
      </c>
      <c r="E96" s="64"/>
      <c r="F96" s="64"/>
      <c r="G96" s="64">
        <v>1.7575132999999999E-3</v>
      </c>
      <c r="H96" s="64">
        <v>1.5374322000000001E-3</v>
      </c>
      <c r="I96" s="64"/>
      <c r="J96" s="64"/>
      <c r="K96" s="64">
        <v>2.9552506000000002E-3</v>
      </c>
      <c r="L96" s="64">
        <v>1.8094548999999999E-3</v>
      </c>
      <c r="M96" s="64"/>
      <c r="N96" s="64"/>
      <c r="O96" s="64">
        <v>7.1556590999999998E-4</v>
      </c>
      <c r="P96" s="64">
        <v>5.2077410999999999E-4</v>
      </c>
      <c r="R96" s="37" t="s">
        <v>1227</v>
      </c>
      <c r="S96" s="37">
        <v>1.1499999999999999</v>
      </c>
      <c r="U96" s="41">
        <v>1.4776253000000001E-3</v>
      </c>
      <c r="V96" s="41">
        <v>9.0472744999999996E-4</v>
      </c>
      <c r="W96" s="41">
        <v>1.1821002400000001E-3</v>
      </c>
      <c r="X96" s="41">
        <v>7.2378196000000001E-4</v>
      </c>
      <c r="Y96" s="41">
        <v>7.3881265000000005E-4</v>
      </c>
      <c r="Z96" s="41">
        <v>4.5236372499999998E-4</v>
      </c>
      <c r="AA96" s="41">
        <v>4.4328759000000003E-4</v>
      </c>
      <c r="AB96" s="41">
        <v>2.7141823499999998E-4</v>
      </c>
      <c r="AC96" s="59">
        <v>1.0733488649999999E-4</v>
      </c>
      <c r="AD96" s="59">
        <v>7.8116116499999991E-5</v>
      </c>
      <c r="AF96" s="6">
        <v>4.4328759000000001E-3</v>
      </c>
      <c r="AG96" s="6">
        <v>2.7141823499999998E-3</v>
      </c>
      <c r="AH96" s="6">
        <v>4.1373508399999998E-3</v>
      </c>
      <c r="AI96" s="6">
        <v>2.5332368599999999E-3</v>
      </c>
      <c r="AJ96" s="6">
        <v>3.6940632500000003E-3</v>
      </c>
      <c r="AK96" s="6">
        <v>2.2618186249999997E-3</v>
      </c>
      <c r="AL96" s="6">
        <v>3.3985381900000001E-3</v>
      </c>
      <c r="AM96" s="6">
        <v>2.0808731349999999E-3</v>
      </c>
      <c r="AN96" s="6">
        <v>8.2290079649999996E-4</v>
      </c>
      <c r="AO96" s="6">
        <v>2.6016472449999998E-3</v>
      </c>
      <c r="AP96" s="37"/>
      <c r="AQ96" s="37"/>
      <c r="AR96" s="37"/>
      <c r="AS96" s="37"/>
      <c r="AT96" s="37"/>
    </row>
    <row r="97" spans="2:46" x14ac:dyDescent="0.25">
      <c r="B97" s="64" t="s">
        <v>345</v>
      </c>
      <c r="C97" s="64">
        <v>6.2805239000000004E-3</v>
      </c>
      <c r="D97" s="64">
        <v>5.8872257000000001E-3</v>
      </c>
      <c r="E97" s="64"/>
      <c r="F97" s="64"/>
      <c r="G97" s="64">
        <v>2.6398433999999999E-3</v>
      </c>
      <c r="H97" s="64">
        <v>2.0338168000000002E-3</v>
      </c>
      <c r="I97" s="64"/>
      <c r="J97" s="64"/>
      <c r="K97" s="64">
        <v>4.0336047999999999E-3</v>
      </c>
      <c r="L97" s="64">
        <v>2.6553596000000001E-3</v>
      </c>
      <c r="M97" s="64"/>
      <c r="N97" s="64"/>
      <c r="O97" s="64">
        <v>1.3094539E-3</v>
      </c>
      <c r="P97" s="64">
        <v>8.5921136E-4</v>
      </c>
      <c r="R97" s="37" t="s">
        <v>1228</v>
      </c>
      <c r="S97" s="37">
        <v>1.1499999999999999</v>
      </c>
      <c r="U97" s="41">
        <v>2.0168024E-3</v>
      </c>
      <c r="V97" s="41">
        <v>1.3276798000000001E-3</v>
      </c>
      <c r="W97" s="41">
        <v>1.61344192E-3</v>
      </c>
      <c r="X97" s="41">
        <v>1.0621438400000001E-3</v>
      </c>
      <c r="Y97" s="41">
        <v>1.0084012E-3</v>
      </c>
      <c r="Z97" s="41">
        <v>6.6383990000000003E-4</v>
      </c>
      <c r="AA97" s="41">
        <v>6.0504071999999999E-4</v>
      </c>
      <c r="AB97" s="41">
        <v>3.9830394000000001E-4</v>
      </c>
      <c r="AC97" s="59">
        <v>1.96418085E-4</v>
      </c>
      <c r="AD97" s="59">
        <v>1.2888170399999999E-4</v>
      </c>
      <c r="AF97" s="6">
        <v>6.0504071999999999E-3</v>
      </c>
      <c r="AG97" s="6">
        <v>3.9830394E-3</v>
      </c>
      <c r="AH97" s="6">
        <v>5.6470467199999999E-3</v>
      </c>
      <c r="AI97" s="6">
        <v>3.7175034400000005E-3</v>
      </c>
      <c r="AJ97" s="6">
        <v>5.0420059999999999E-3</v>
      </c>
      <c r="AK97" s="6">
        <v>3.3191995000000003E-3</v>
      </c>
      <c r="AL97" s="6">
        <v>4.6386455199999999E-3</v>
      </c>
      <c r="AM97" s="6">
        <v>3.0536635400000003E-3</v>
      </c>
      <c r="AN97" s="6">
        <v>1.505871985E-3</v>
      </c>
      <c r="AO97" s="6">
        <v>3.9128749000000001E-3</v>
      </c>
      <c r="AP97" s="37"/>
      <c r="AQ97" s="37"/>
      <c r="AR97" s="37"/>
      <c r="AS97" s="37"/>
      <c r="AT97" s="37"/>
    </row>
    <row r="98" spans="2:46" x14ac:dyDescent="0.25">
      <c r="B98" s="64" t="s">
        <v>346</v>
      </c>
      <c r="C98" s="64">
        <v>8.8556143E-3</v>
      </c>
      <c r="D98" s="64">
        <v>6.8645399000000001E-3</v>
      </c>
      <c r="E98" s="64"/>
      <c r="F98" s="64"/>
      <c r="G98" s="64">
        <v>3.9857E-3</v>
      </c>
      <c r="H98" s="64">
        <v>2.8455848999999998E-3</v>
      </c>
      <c r="I98" s="64"/>
      <c r="J98" s="64"/>
      <c r="K98" s="64">
        <v>6.2389378000000002E-3</v>
      </c>
      <c r="L98" s="64">
        <v>4.9026162999999999E-3</v>
      </c>
      <c r="M98" s="64"/>
      <c r="N98" s="64"/>
      <c r="O98" s="64">
        <v>2.0399495999999999E-3</v>
      </c>
      <c r="P98" s="64">
        <v>1.4798375999999999E-3</v>
      </c>
      <c r="U98" s="41">
        <v>3.1194689000000001E-3</v>
      </c>
      <c r="V98" s="41">
        <v>2.45130815E-3</v>
      </c>
      <c r="W98" s="41">
        <v>2.4955751200000003E-3</v>
      </c>
      <c r="X98" s="41">
        <v>1.9610465200000002E-3</v>
      </c>
      <c r="Y98" s="41">
        <v>1.5597344500000001E-3</v>
      </c>
      <c r="Z98" s="41">
        <v>1.225654075E-3</v>
      </c>
      <c r="AA98" s="41">
        <v>9.3584066999999999E-4</v>
      </c>
      <c r="AB98" s="41">
        <v>7.3539244499999993E-4</v>
      </c>
      <c r="AC98" s="59">
        <v>3.0599243999999997E-4</v>
      </c>
      <c r="AD98" s="59">
        <v>2.2197563999999998E-4</v>
      </c>
      <c r="AF98" s="6">
        <v>9.3584067000000003E-3</v>
      </c>
      <c r="AG98" s="6">
        <v>7.3539244500000003E-3</v>
      </c>
      <c r="AH98" s="6">
        <v>8.7345129199999996E-3</v>
      </c>
      <c r="AI98" s="6">
        <v>6.8636628199999997E-3</v>
      </c>
      <c r="AJ98" s="6">
        <v>7.7986722500000003E-3</v>
      </c>
      <c r="AK98" s="6">
        <v>6.1282703749999997E-3</v>
      </c>
      <c r="AL98" s="6">
        <v>7.1747784700000004E-3</v>
      </c>
      <c r="AM98" s="6">
        <v>5.638008745E-3</v>
      </c>
      <c r="AN98" s="6">
        <v>2.34594204E-3</v>
      </c>
      <c r="AO98" s="6">
        <v>7.1178463449999996E-3</v>
      </c>
      <c r="AP98" s="37"/>
      <c r="AQ98" s="37"/>
      <c r="AR98" s="37"/>
      <c r="AS98" s="37"/>
      <c r="AT98" s="37"/>
    </row>
    <row r="99" spans="2:46" x14ac:dyDescent="0.25">
      <c r="B99" s="64" t="s">
        <v>347</v>
      </c>
      <c r="C99" s="64">
        <v>9.6151164000000001E-3</v>
      </c>
      <c r="D99" s="64">
        <v>8.0548313000000007E-3</v>
      </c>
      <c r="E99" s="64"/>
      <c r="F99" s="64"/>
      <c r="G99" s="64">
        <v>4.6958737000000004E-3</v>
      </c>
      <c r="H99" s="64">
        <v>3.7437826E-3</v>
      </c>
      <c r="I99" s="64"/>
      <c r="J99" s="64"/>
      <c r="K99" s="64">
        <v>8.6371413999999994E-3</v>
      </c>
      <c r="L99" s="64">
        <v>8.8966859999999991E-3</v>
      </c>
      <c r="M99" s="64"/>
      <c r="N99" s="64"/>
      <c r="O99" s="64">
        <v>2.6755803E-3</v>
      </c>
      <c r="P99" s="64">
        <v>2.2203368000000001E-3</v>
      </c>
      <c r="U99" s="41">
        <v>4.3185706999999997E-3</v>
      </c>
      <c r="V99" s="41">
        <v>4.4483429999999996E-3</v>
      </c>
      <c r="W99" s="41">
        <v>3.45485656E-3</v>
      </c>
      <c r="X99" s="41">
        <v>3.5586743999999997E-3</v>
      </c>
      <c r="Y99" s="41">
        <v>2.1592853499999998E-3</v>
      </c>
      <c r="Z99" s="41">
        <v>2.2241714999999998E-3</v>
      </c>
      <c r="AA99" s="41">
        <v>1.2955712099999999E-3</v>
      </c>
      <c r="AB99" s="41">
        <v>1.3345028999999999E-3</v>
      </c>
      <c r="AC99" s="59">
        <v>4.0133704499999997E-4</v>
      </c>
      <c r="AD99" s="59">
        <v>3.3305052000000003E-4</v>
      </c>
      <c r="AF99" s="6">
        <v>1.2955712099999999E-2</v>
      </c>
      <c r="AG99" s="6">
        <v>1.3345028999999998E-2</v>
      </c>
      <c r="AH99" s="6">
        <v>1.209199796E-2</v>
      </c>
      <c r="AI99" s="6">
        <v>1.2455360399999999E-2</v>
      </c>
      <c r="AJ99" s="6">
        <v>1.0796426749999999E-2</v>
      </c>
      <c r="AK99" s="6">
        <v>1.1120857499999999E-2</v>
      </c>
      <c r="AL99" s="6">
        <v>9.93271261E-3</v>
      </c>
      <c r="AM99" s="6">
        <v>1.0231188899999999E-2</v>
      </c>
      <c r="AN99" s="6">
        <v>3.0769173450000001E-3</v>
      </c>
      <c r="AO99" s="6">
        <v>1.2451525699999999E-2</v>
      </c>
      <c r="AP99" s="37"/>
      <c r="AQ99" s="37"/>
      <c r="AR99" s="37"/>
      <c r="AS99" s="37"/>
      <c r="AT99" s="37"/>
    </row>
    <row r="100" spans="2:46" x14ac:dyDescent="0.25">
      <c r="B100" s="64" t="s">
        <v>348</v>
      </c>
      <c r="C100" s="64">
        <v>1.0607349E-2</v>
      </c>
      <c r="D100" s="64">
        <v>9.1846958999999995E-3</v>
      </c>
      <c r="E100" s="64"/>
      <c r="F100" s="64"/>
      <c r="G100" s="64">
        <v>5.6646924E-3</v>
      </c>
      <c r="H100" s="64">
        <v>4.5377007000000002E-3</v>
      </c>
      <c r="I100" s="64"/>
      <c r="J100" s="64"/>
      <c r="K100" s="64">
        <v>1.1624832E-2</v>
      </c>
      <c r="L100" s="64">
        <v>1.2320871000000001E-2</v>
      </c>
      <c r="M100" s="64"/>
      <c r="N100" s="64"/>
      <c r="O100" s="64">
        <v>3.6027530999999998E-3</v>
      </c>
      <c r="P100" s="64">
        <v>2.8750952999999999E-3</v>
      </c>
      <c r="U100" s="41">
        <v>5.8124159999999999E-3</v>
      </c>
      <c r="V100" s="41">
        <v>6.1604355000000003E-3</v>
      </c>
      <c r="W100" s="41">
        <v>4.6499328000000001E-3</v>
      </c>
      <c r="X100" s="41">
        <v>4.9283484000000009E-3</v>
      </c>
      <c r="Y100" s="41">
        <v>2.906208E-3</v>
      </c>
      <c r="Z100" s="41">
        <v>3.0802177500000002E-3</v>
      </c>
      <c r="AA100" s="41">
        <v>1.7437247999999999E-3</v>
      </c>
      <c r="AB100" s="41">
        <v>1.8481306499999999E-3</v>
      </c>
      <c r="AC100" s="59">
        <v>5.4041296499999993E-4</v>
      </c>
      <c r="AD100" s="59">
        <v>4.3126429499999996E-4</v>
      </c>
      <c r="AF100" s="6">
        <v>1.7437247999999999E-2</v>
      </c>
      <c r="AG100" s="6">
        <v>1.8481306500000003E-2</v>
      </c>
      <c r="AH100" s="6">
        <v>1.6274764800000001E-2</v>
      </c>
      <c r="AI100" s="6">
        <v>1.7249219400000002E-2</v>
      </c>
      <c r="AJ100" s="6">
        <v>1.453104E-2</v>
      </c>
      <c r="AK100" s="6">
        <v>1.540108875E-2</v>
      </c>
      <c r="AL100" s="6">
        <v>1.33685568E-2</v>
      </c>
      <c r="AM100" s="6">
        <v>1.4169001650000001E-2</v>
      </c>
      <c r="AN100" s="6">
        <v>4.1431660649999995E-3</v>
      </c>
      <c r="AO100" s="6">
        <v>1.704409695E-2</v>
      </c>
      <c r="AP100" s="37"/>
      <c r="AQ100" s="37"/>
      <c r="AR100" s="37"/>
      <c r="AS100" s="37"/>
      <c r="AT100" s="37"/>
    </row>
    <row r="101" spans="2:46" x14ac:dyDescent="0.25">
      <c r="B101" s="64" t="s">
        <v>349</v>
      </c>
      <c r="C101" s="64">
        <v>1.2175375E-2</v>
      </c>
      <c r="D101" s="64">
        <v>1.0401812999999999E-2</v>
      </c>
      <c r="E101" s="64"/>
      <c r="F101" s="64"/>
      <c r="G101" s="64">
        <v>7.1162444E-3</v>
      </c>
      <c r="H101" s="64">
        <v>5.5269626000000001E-3</v>
      </c>
      <c r="I101" s="64"/>
      <c r="J101" s="64"/>
      <c r="K101" s="64">
        <v>1.5964167000000001E-2</v>
      </c>
      <c r="L101" s="64">
        <v>1.6142928000000001E-2</v>
      </c>
      <c r="M101" s="64"/>
      <c r="N101" s="64"/>
      <c r="O101" s="64">
        <v>5.0245721999999998E-3</v>
      </c>
      <c r="P101" s="64">
        <v>3.7959793999999998E-3</v>
      </c>
      <c r="U101" s="41">
        <v>7.9820835000000007E-3</v>
      </c>
      <c r="V101" s="41">
        <v>8.0714640000000004E-3</v>
      </c>
      <c r="W101" s="41">
        <v>6.3856668000000011E-3</v>
      </c>
      <c r="X101" s="41">
        <v>6.4571712000000003E-3</v>
      </c>
      <c r="Y101" s="41">
        <v>3.9910417500000003E-3</v>
      </c>
      <c r="Z101" s="41">
        <v>4.0357320000000002E-3</v>
      </c>
      <c r="AA101" s="41">
        <v>2.3946250500000003E-3</v>
      </c>
      <c r="AB101" s="41">
        <v>2.4214392000000001E-3</v>
      </c>
      <c r="AC101" s="59">
        <v>7.5368582999999997E-4</v>
      </c>
      <c r="AD101" s="59">
        <v>5.6939690999999995E-4</v>
      </c>
      <c r="AF101" s="6">
        <v>2.3946250500000002E-2</v>
      </c>
      <c r="AG101" s="6">
        <v>2.4214392000000001E-2</v>
      </c>
      <c r="AH101" s="6">
        <v>2.2349833800000003E-2</v>
      </c>
      <c r="AI101" s="6">
        <v>2.2600099200000001E-2</v>
      </c>
      <c r="AJ101" s="6">
        <v>1.9955208750000002E-2</v>
      </c>
      <c r="AK101" s="6">
        <v>2.0178660000000001E-2</v>
      </c>
      <c r="AL101" s="6">
        <v>1.8358792050000003E-2</v>
      </c>
      <c r="AM101" s="6">
        <v>1.8564367200000001E-2</v>
      </c>
      <c r="AN101" s="6">
        <v>5.7782580299999995E-3</v>
      </c>
      <c r="AO101" s="6">
        <v>2.2360346600000001E-2</v>
      </c>
      <c r="AP101" s="37"/>
      <c r="AQ101" s="37"/>
      <c r="AR101" s="37"/>
      <c r="AS101" s="37"/>
      <c r="AT101" s="37"/>
    </row>
    <row r="102" spans="2:46" x14ac:dyDescent="0.25">
      <c r="B102" s="64" t="s">
        <v>350</v>
      </c>
      <c r="C102" s="64">
        <v>1.4291844999999999E-2</v>
      </c>
      <c r="D102" s="64">
        <v>1.1626762000000001E-2</v>
      </c>
      <c r="E102" s="64"/>
      <c r="F102" s="64"/>
      <c r="G102" s="64">
        <v>8.7997258999999994E-3</v>
      </c>
      <c r="H102" s="64">
        <v>6.5853329E-3</v>
      </c>
      <c r="I102" s="64"/>
      <c r="J102" s="64"/>
      <c r="K102" s="64">
        <v>1.9293680000000001E-2</v>
      </c>
      <c r="L102" s="64">
        <v>1.6677626000000001E-2</v>
      </c>
      <c r="M102" s="64"/>
      <c r="N102" s="64"/>
      <c r="O102" s="64">
        <v>6.5006415000000003E-3</v>
      </c>
      <c r="P102" s="64">
        <v>4.8081104999999997E-3</v>
      </c>
      <c r="U102" s="41">
        <v>9.6468400000000003E-3</v>
      </c>
      <c r="V102" s="41">
        <v>8.3388130000000005E-3</v>
      </c>
      <c r="W102" s="41">
        <v>7.7174720000000004E-3</v>
      </c>
      <c r="X102" s="41">
        <v>6.6710504000000006E-3</v>
      </c>
      <c r="Y102" s="41">
        <v>4.8234200000000001E-3</v>
      </c>
      <c r="Z102" s="41">
        <v>4.1694065000000002E-3</v>
      </c>
      <c r="AA102" s="41">
        <v>2.8940519999999998E-3</v>
      </c>
      <c r="AB102" s="41">
        <v>2.5016438999999999E-3</v>
      </c>
      <c r="AC102" s="59">
        <v>9.7509622500000003E-4</v>
      </c>
      <c r="AD102" s="59">
        <v>7.2121657499999998E-4</v>
      </c>
      <c r="AF102" s="6">
        <v>2.8940520000000001E-2</v>
      </c>
      <c r="AG102" s="6">
        <v>2.5016439000000001E-2</v>
      </c>
      <c r="AH102" s="6">
        <v>2.7011152E-2</v>
      </c>
      <c r="AI102" s="6">
        <v>2.3348676400000001E-2</v>
      </c>
      <c r="AJ102" s="6">
        <v>2.4117100000000002E-2</v>
      </c>
      <c r="AK102" s="6">
        <v>2.0847032500000001E-2</v>
      </c>
      <c r="AL102" s="6">
        <v>2.2187732000000002E-2</v>
      </c>
      <c r="AM102" s="6">
        <v>1.91792699E-2</v>
      </c>
      <c r="AN102" s="6">
        <v>7.4757377250000007E-3</v>
      </c>
      <c r="AO102" s="6">
        <v>2.3987380400000001E-2</v>
      </c>
      <c r="AP102" s="37"/>
      <c r="AQ102" s="37"/>
      <c r="AR102" s="37"/>
      <c r="AS102" s="37"/>
      <c r="AT102" s="37"/>
    </row>
    <row r="103" spans="2:46" x14ac:dyDescent="0.25">
      <c r="B103" s="64" t="s">
        <v>351</v>
      </c>
      <c r="C103" s="64">
        <v>1.6435460999999998E-2</v>
      </c>
      <c r="D103" s="64">
        <v>1.2549101999999999E-2</v>
      </c>
      <c r="E103" s="64"/>
      <c r="F103" s="64"/>
      <c r="G103" s="64">
        <v>1.0865725E-2</v>
      </c>
      <c r="H103" s="64">
        <v>7.5736190000000002E-3</v>
      </c>
      <c r="I103" s="64"/>
      <c r="J103" s="64"/>
      <c r="K103" s="64">
        <v>2.2586253000000001E-2</v>
      </c>
      <c r="L103" s="64">
        <v>1.7601650999999999E-2</v>
      </c>
      <c r="M103" s="64"/>
      <c r="N103" s="64"/>
      <c r="O103" s="64">
        <v>8.5831359999999999E-3</v>
      </c>
      <c r="P103" s="64">
        <v>5.9388258000000003E-3</v>
      </c>
      <c r="U103" s="41">
        <v>1.12931265E-2</v>
      </c>
      <c r="V103" s="41">
        <v>8.8008254999999997E-3</v>
      </c>
      <c r="W103" s="41">
        <v>9.0345012000000013E-3</v>
      </c>
      <c r="X103" s="41">
        <v>7.0406603999999999E-3</v>
      </c>
      <c r="Y103" s="41">
        <v>5.6465632500000001E-3</v>
      </c>
      <c r="Z103" s="41">
        <v>4.4004127499999999E-3</v>
      </c>
      <c r="AA103" s="41">
        <v>3.3879379499999998E-3</v>
      </c>
      <c r="AB103" s="41">
        <v>2.6402476499999997E-3</v>
      </c>
      <c r="AC103" s="59">
        <v>1.2874703999999999E-3</v>
      </c>
      <c r="AD103" s="59">
        <v>8.9082387E-4</v>
      </c>
      <c r="AF103" s="6">
        <v>3.3879379500000001E-2</v>
      </c>
      <c r="AG103" s="6">
        <v>2.6402476500000001E-2</v>
      </c>
      <c r="AH103" s="6">
        <v>3.1620754200000004E-2</v>
      </c>
      <c r="AI103" s="6">
        <v>2.4642311399999998E-2</v>
      </c>
      <c r="AJ103" s="6">
        <v>2.8232816250000001E-2</v>
      </c>
      <c r="AK103" s="6">
        <v>2.2002063749999998E-2</v>
      </c>
      <c r="AL103" s="6">
        <v>2.597419095E-2</v>
      </c>
      <c r="AM103" s="6">
        <v>2.0241898649999999E-2</v>
      </c>
      <c r="AN103" s="6">
        <v>9.8706063999999989E-3</v>
      </c>
      <c r="AO103" s="6">
        <v>2.6180724449999998E-2</v>
      </c>
      <c r="AP103" s="37"/>
      <c r="AQ103" s="37"/>
      <c r="AR103" s="37"/>
      <c r="AS103" s="37"/>
      <c r="AT103" s="37"/>
    </row>
    <row r="104" spans="2:46" x14ac:dyDescent="0.25">
      <c r="B104" s="64" t="s">
        <v>352</v>
      </c>
      <c r="C104" s="64">
        <v>2.0325749000000001E-2</v>
      </c>
      <c r="D104" s="64">
        <v>1.5731574000000002E-2</v>
      </c>
      <c r="E104" s="64"/>
      <c r="F104" s="64"/>
      <c r="G104" s="64">
        <v>1.4523025E-2</v>
      </c>
      <c r="H104" s="64">
        <v>9.9609430999999995E-3</v>
      </c>
      <c r="I104" s="64"/>
      <c r="J104" s="64"/>
      <c r="K104" s="64">
        <v>2.6900196000000001E-2</v>
      </c>
      <c r="L104" s="64">
        <v>1.9200292000000001E-2</v>
      </c>
      <c r="M104" s="64"/>
      <c r="N104" s="64"/>
      <c r="O104" s="64">
        <v>1.2106344999999999E-2</v>
      </c>
      <c r="P104" s="64">
        <v>7.9175652000000006E-3</v>
      </c>
      <c r="U104" s="41">
        <v>1.3450098000000001E-2</v>
      </c>
      <c r="V104" s="41">
        <v>9.6001460000000004E-3</v>
      </c>
      <c r="W104" s="41">
        <v>1.0760078400000001E-2</v>
      </c>
      <c r="X104" s="41">
        <v>7.680116800000001E-3</v>
      </c>
      <c r="Y104" s="41">
        <v>6.7250490000000003E-3</v>
      </c>
      <c r="Z104" s="41">
        <v>4.8000730000000002E-3</v>
      </c>
      <c r="AA104" s="41">
        <v>4.0350294E-3</v>
      </c>
      <c r="AB104" s="41">
        <v>2.8800437999999999E-3</v>
      </c>
      <c r="AC104" s="59">
        <v>1.8159517499999997E-3</v>
      </c>
      <c r="AD104" s="59">
        <v>1.18763478E-3</v>
      </c>
      <c r="AF104" s="6">
        <v>4.0350294000000002E-2</v>
      </c>
      <c r="AG104" s="6">
        <v>2.8800438000000001E-2</v>
      </c>
      <c r="AH104" s="6">
        <v>3.7660274399999999E-2</v>
      </c>
      <c r="AI104" s="6">
        <v>2.6880408800000002E-2</v>
      </c>
      <c r="AJ104" s="6">
        <v>3.3625244999999998E-2</v>
      </c>
      <c r="AK104" s="6">
        <v>2.4000365000000003E-2</v>
      </c>
      <c r="AL104" s="6">
        <v>3.0935225400000002E-2</v>
      </c>
      <c r="AM104" s="6">
        <v>2.20803358E-2</v>
      </c>
      <c r="AN104" s="6">
        <v>1.3922296749999999E-2</v>
      </c>
      <c r="AO104" s="6">
        <v>2.9997901E-2</v>
      </c>
      <c r="AP104" s="37"/>
      <c r="AQ104" s="37"/>
      <c r="AR104" s="37"/>
      <c r="AS104" s="37"/>
      <c r="AT104" s="37"/>
    </row>
    <row r="105" spans="2:46" x14ac:dyDescent="0.25">
      <c r="B105" s="64" t="s">
        <v>353</v>
      </c>
      <c r="C105" s="64">
        <v>2.5028631999999999E-2</v>
      </c>
      <c r="D105" s="64">
        <v>2.0328145999999998E-2</v>
      </c>
      <c r="E105" s="64"/>
      <c r="F105" s="64"/>
      <c r="G105" s="64">
        <v>1.8907543999999998E-2</v>
      </c>
      <c r="H105" s="64">
        <v>1.3199353E-2</v>
      </c>
      <c r="I105" s="64"/>
      <c r="J105" s="64"/>
      <c r="K105" s="64">
        <v>3.2764234000000003E-2</v>
      </c>
      <c r="L105" s="64">
        <v>2.2089925999999999E-2</v>
      </c>
      <c r="M105" s="64"/>
      <c r="N105" s="64"/>
      <c r="O105" s="64">
        <v>1.6280447E-2</v>
      </c>
      <c r="P105" s="64">
        <v>1.0287619E-2</v>
      </c>
      <c r="U105" s="41">
        <v>1.6382117000000002E-2</v>
      </c>
      <c r="V105" s="41">
        <v>1.1044963E-2</v>
      </c>
      <c r="W105" s="41">
        <v>1.3105693600000003E-2</v>
      </c>
      <c r="X105" s="41">
        <v>8.8359704000000004E-3</v>
      </c>
      <c r="Y105" s="41">
        <v>8.1910585000000008E-3</v>
      </c>
      <c r="Z105" s="41">
        <v>5.5224814999999998E-3</v>
      </c>
      <c r="AA105" s="41">
        <v>4.9146351000000001E-3</v>
      </c>
      <c r="AB105" s="41">
        <v>3.3134888999999997E-3</v>
      </c>
      <c r="AC105" s="59">
        <v>2.4420670499999998E-3</v>
      </c>
      <c r="AD105" s="59">
        <v>1.5431428499999998E-3</v>
      </c>
      <c r="AF105" s="6">
        <v>4.9146351000000005E-2</v>
      </c>
      <c r="AG105" s="6">
        <v>3.3134889000000001E-2</v>
      </c>
      <c r="AH105" s="6">
        <v>4.5869927600000006E-2</v>
      </c>
      <c r="AI105" s="6">
        <v>3.09258964E-2</v>
      </c>
      <c r="AJ105" s="6">
        <v>4.0955292500000004E-2</v>
      </c>
      <c r="AK105" s="6">
        <v>2.7612407499999998E-2</v>
      </c>
      <c r="AL105" s="6">
        <v>3.7678869100000005E-2</v>
      </c>
      <c r="AM105" s="6">
        <v>2.5403414899999997E-2</v>
      </c>
      <c r="AN105" s="6">
        <v>1.872251405E-2</v>
      </c>
      <c r="AO105" s="6">
        <v>3.5691033899999995E-2</v>
      </c>
      <c r="AP105" s="37"/>
      <c r="AQ105" s="37"/>
      <c r="AR105" s="37"/>
      <c r="AS105" s="37"/>
      <c r="AT105" s="37"/>
    </row>
    <row r="106" spans="2:46" x14ac:dyDescent="0.25">
      <c r="B106" s="64" t="s">
        <v>354</v>
      </c>
      <c r="C106" s="64">
        <v>3.4517134999999997E-2</v>
      </c>
      <c r="D106" s="64">
        <v>2.9738164000000001E-2</v>
      </c>
      <c r="E106" s="64"/>
      <c r="F106" s="64"/>
      <c r="G106" s="64">
        <v>2.7645844999999999E-2</v>
      </c>
      <c r="H106" s="64">
        <v>2.0014533000000001E-2</v>
      </c>
      <c r="I106" s="64"/>
      <c r="J106" s="64"/>
      <c r="K106" s="64">
        <v>4.3664857000000001E-2</v>
      </c>
      <c r="L106" s="64">
        <v>2.8411806000000001E-2</v>
      </c>
      <c r="M106" s="64"/>
      <c r="N106" s="64"/>
      <c r="O106" s="64">
        <v>2.4070646000000001E-2</v>
      </c>
      <c r="P106" s="64">
        <v>1.5019296999999999E-2</v>
      </c>
      <c r="U106" s="41">
        <v>2.1832428500000001E-2</v>
      </c>
      <c r="V106" s="41">
        <v>1.4205903000000001E-2</v>
      </c>
      <c r="W106" s="41">
        <v>1.7465942800000002E-2</v>
      </c>
      <c r="X106" s="41">
        <v>1.1364722400000001E-2</v>
      </c>
      <c r="Y106" s="41">
        <v>1.091621425E-2</v>
      </c>
      <c r="Z106" s="41">
        <v>7.1029515000000003E-3</v>
      </c>
      <c r="AA106" s="41">
        <v>6.5497285499999999E-3</v>
      </c>
      <c r="AB106" s="41">
        <v>4.2617708999999997E-3</v>
      </c>
      <c r="AC106" s="59">
        <v>3.6105969000000001E-3</v>
      </c>
      <c r="AD106" s="59">
        <v>2.2528945499999996E-3</v>
      </c>
      <c r="AF106" s="6">
        <v>6.5497285500000002E-2</v>
      </c>
      <c r="AG106" s="6">
        <v>4.2617709000000004E-2</v>
      </c>
      <c r="AH106" s="6">
        <v>6.1130799800000003E-2</v>
      </c>
      <c r="AI106" s="6">
        <v>3.9776528400000004E-2</v>
      </c>
      <c r="AJ106" s="6">
        <v>5.4581071250000002E-2</v>
      </c>
      <c r="AK106" s="6">
        <v>3.5514757500000001E-2</v>
      </c>
      <c r="AL106" s="6">
        <v>5.0214585550000003E-2</v>
      </c>
      <c r="AM106" s="6">
        <v>3.2673576900000001E-2</v>
      </c>
      <c r="AN106" s="6">
        <v>2.76812429E-2</v>
      </c>
      <c r="AO106" s="6">
        <v>4.7692873900000002E-2</v>
      </c>
      <c r="AP106" s="37"/>
      <c r="AQ106" s="37"/>
      <c r="AR106" s="37"/>
      <c r="AS106" s="37"/>
      <c r="AT106" s="37"/>
    </row>
    <row r="107" spans="2:46" x14ac:dyDescent="0.25">
      <c r="B107" s="64" t="s">
        <v>355</v>
      </c>
      <c r="C107" s="64">
        <v>4.9521377999999998E-2</v>
      </c>
      <c r="D107" s="64">
        <v>4.4950836000000001E-2</v>
      </c>
      <c r="E107" s="64"/>
      <c r="F107" s="64"/>
      <c r="G107" s="64">
        <v>4.1897086E-2</v>
      </c>
      <c r="H107" s="64">
        <v>3.2225779000000003E-2</v>
      </c>
      <c r="I107" s="64"/>
      <c r="J107" s="64"/>
      <c r="K107" s="64">
        <v>6.1229464999999997E-2</v>
      </c>
      <c r="L107" s="64">
        <v>4.0120202000000001E-2</v>
      </c>
      <c r="M107" s="64"/>
      <c r="N107" s="64"/>
      <c r="O107" s="64">
        <v>3.6466032000000002E-2</v>
      </c>
      <c r="P107" s="64">
        <v>2.3855056999999999E-2</v>
      </c>
      <c r="U107" s="41">
        <v>3.0614732499999998E-2</v>
      </c>
      <c r="V107" s="41">
        <v>2.0060101E-2</v>
      </c>
      <c r="W107" s="41">
        <v>2.4491786000000001E-2</v>
      </c>
      <c r="X107" s="41">
        <v>1.60480808E-2</v>
      </c>
      <c r="Y107" s="41">
        <v>1.5307366249999999E-2</v>
      </c>
      <c r="Z107" s="41">
        <v>1.00300505E-2</v>
      </c>
      <c r="AA107" s="41">
        <v>9.1844197499999988E-3</v>
      </c>
      <c r="AB107" s="41">
        <v>6.0180303000000003E-3</v>
      </c>
      <c r="AC107" s="59">
        <v>5.4699048000000005E-3</v>
      </c>
      <c r="AD107" s="59">
        <v>3.5782585499999995E-3</v>
      </c>
      <c r="AF107" s="6">
        <v>9.1844197500000002E-2</v>
      </c>
      <c r="AG107" s="6">
        <v>6.0180303000000004E-2</v>
      </c>
      <c r="AH107" s="6">
        <v>8.5721250999999998E-2</v>
      </c>
      <c r="AI107" s="6">
        <v>5.6168282799999997E-2</v>
      </c>
      <c r="AJ107" s="6">
        <v>7.6536831249999993E-2</v>
      </c>
      <c r="AK107" s="6">
        <v>5.0150252499999999E-2</v>
      </c>
      <c r="AL107" s="6">
        <v>7.0413884749999989E-2</v>
      </c>
      <c r="AM107" s="6">
        <v>4.6138232299999998E-2</v>
      </c>
      <c r="AN107" s="6">
        <v>4.1935936800000004E-2</v>
      </c>
      <c r="AO107" s="6">
        <v>6.9993289299999997E-2</v>
      </c>
      <c r="AP107" s="37"/>
      <c r="AQ107" s="37"/>
      <c r="AR107" s="37"/>
      <c r="AS107" s="37"/>
      <c r="AT107" s="37"/>
    </row>
    <row r="108" spans="2:46" x14ac:dyDescent="0.25">
      <c r="B108" s="64" t="s">
        <v>356</v>
      </c>
      <c r="C108" s="64">
        <v>7.5421848E-2</v>
      </c>
      <c r="D108" s="64">
        <v>7.0557852000000004E-2</v>
      </c>
      <c r="E108" s="64"/>
      <c r="F108" s="64"/>
      <c r="G108" s="64">
        <v>6.6436233999999997E-2</v>
      </c>
      <c r="H108" s="64">
        <v>5.4043418000000003E-2</v>
      </c>
      <c r="I108" s="64"/>
      <c r="J108" s="64"/>
      <c r="K108" s="64">
        <v>9.1149208999999995E-2</v>
      </c>
      <c r="L108" s="64">
        <v>6.1236934999999999E-2</v>
      </c>
      <c r="M108" s="64"/>
      <c r="N108" s="64"/>
      <c r="O108" s="64">
        <v>5.6283541999999999E-2</v>
      </c>
      <c r="P108" s="64">
        <v>3.9298120999999998E-2</v>
      </c>
      <c r="U108" s="41">
        <v>4.5574604499999997E-2</v>
      </c>
      <c r="V108" s="41">
        <v>3.06184675E-2</v>
      </c>
      <c r="W108" s="41">
        <v>3.6459683600000001E-2</v>
      </c>
      <c r="X108" s="41">
        <v>2.4494774E-2</v>
      </c>
      <c r="Y108" s="41">
        <v>2.2787302249999999E-2</v>
      </c>
      <c r="Z108" s="41">
        <v>1.530923375E-2</v>
      </c>
      <c r="AA108" s="41">
        <v>1.3672381349999999E-2</v>
      </c>
      <c r="AB108" s="41">
        <v>9.1855402499999989E-3</v>
      </c>
      <c r="AC108" s="59">
        <v>8.4425313000000002E-3</v>
      </c>
      <c r="AD108" s="59">
        <v>5.8947181499999996E-3</v>
      </c>
      <c r="AF108" s="6">
        <v>0.13672381349999999</v>
      </c>
      <c r="AG108" s="6">
        <v>9.1855402500000002E-2</v>
      </c>
      <c r="AH108" s="6">
        <v>0.1276088926</v>
      </c>
      <c r="AI108" s="6">
        <v>8.5731709000000003E-2</v>
      </c>
      <c r="AJ108" s="6">
        <v>0.11393651125</v>
      </c>
      <c r="AK108" s="6">
        <v>7.6546168750000004E-2</v>
      </c>
      <c r="AL108" s="6">
        <v>0.10482159034999999</v>
      </c>
      <c r="AM108" s="6">
        <v>7.0422475250000005E-2</v>
      </c>
      <c r="AN108" s="6">
        <v>6.4726073299999992E-2</v>
      </c>
      <c r="AO108" s="6">
        <v>0.10972059625</v>
      </c>
      <c r="AP108" s="37"/>
      <c r="AQ108" s="37"/>
      <c r="AR108" s="37"/>
      <c r="AS108" s="37"/>
      <c r="AT108" s="37"/>
    </row>
    <row r="109" spans="2:46" x14ac:dyDescent="0.25">
      <c r="B109" s="64" t="s">
        <v>357</v>
      </c>
      <c r="C109" s="64">
        <v>0.11632903</v>
      </c>
      <c r="D109" s="64">
        <v>0.10963367</v>
      </c>
      <c r="E109" s="64"/>
      <c r="F109" s="64"/>
      <c r="G109" s="64">
        <v>0.10754548999999999</v>
      </c>
      <c r="H109" s="64">
        <v>9.0690460000000001E-2</v>
      </c>
      <c r="I109" s="64"/>
      <c r="J109" s="64"/>
      <c r="K109" s="64">
        <v>0.13845341999999999</v>
      </c>
      <c r="L109" s="64">
        <v>9.5988402E-2</v>
      </c>
      <c r="M109" s="64"/>
      <c r="N109" s="64"/>
      <c r="O109" s="64">
        <v>8.9232522999999994E-2</v>
      </c>
      <c r="P109" s="64">
        <v>6.5775560999999996E-2</v>
      </c>
      <c r="U109" s="41">
        <v>6.9226709999999997E-2</v>
      </c>
      <c r="V109" s="41">
        <v>4.7994201E-2</v>
      </c>
      <c r="W109" s="41">
        <v>5.5381368E-2</v>
      </c>
      <c r="X109" s="41">
        <v>3.83953608E-2</v>
      </c>
      <c r="Y109" s="41">
        <v>3.4613354999999998E-2</v>
      </c>
      <c r="Z109" s="41">
        <v>2.39971005E-2</v>
      </c>
      <c r="AA109" s="41">
        <v>2.0768012999999998E-2</v>
      </c>
      <c r="AB109" s="41">
        <v>1.43982603E-2</v>
      </c>
      <c r="AC109" s="59">
        <v>1.3384878449999998E-2</v>
      </c>
      <c r="AD109" s="59">
        <v>9.8663341499999994E-3</v>
      </c>
      <c r="AF109" s="6">
        <v>0.20768012999999999</v>
      </c>
      <c r="AG109" s="6">
        <v>0.14398260299999999</v>
      </c>
      <c r="AH109" s="6">
        <v>0.19383478799999998</v>
      </c>
      <c r="AI109" s="6">
        <v>0.1343837628</v>
      </c>
      <c r="AJ109" s="6">
        <v>0.17306677500000001</v>
      </c>
      <c r="AK109" s="6">
        <v>0.11998550250000001</v>
      </c>
      <c r="AL109" s="6">
        <v>0.159221433</v>
      </c>
      <c r="AM109" s="6">
        <v>0.11038666229999999</v>
      </c>
      <c r="AN109" s="6">
        <v>0.10261740144999999</v>
      </c>
      <c r="AO109" s="6">
        <v>0.17616222329999998</v>
      </c>
      <c r="AP109" s="37"/>
      <c r="AQ109" s="37"/>
      <c r="AR109" s="37"/>
      <c r="AS109" s="37"/>
      <c r="AT109" s="37"/>
    </row>
    <row r="111" spans="2:46" x14ac:dyDescent="0.25">
      <c r="J111" s="37"/>
    </row>
    <row r="112" spans="2:46" x14ac:dyDescent="0.25">
      <c r="B112" t="s">
        <v>1040</v>
      </c>
      <c r="G112" t="s">
        <v>1047</v>
      </c>
      <c r="J112" s="37"/>
      <c r="L112" s="37" t="s">
        <v>1050</v>
      </c>
      <c r="Q112" t="s">
        <v>1054</v>
      </c>
    </row>
    <row r="113" spans="2:19" x14ac:dyDescent="0.25">
      <c r="B113" t="s">
        <v>217</v>
      </c>
      <c r="C113" t="s">
        <v>1077</v>
      </c>
      <c r="D113" t="s">
        <v>1080</v>
      </c>
      <c r="E113" t="s">
        <v>1079</v>
      </c>
      <c r="G113" s="37" t="s">
        <v>217</v>
      </c>
      <c r="H113" s="37" t="s">
        <v>1077</v>
      </c>
      <c r="J113" s="37" t="s">
        <v>1079</v>
      </c>
      <c r="L113" s="37" t="s">
        <v>217</v>
      </c>
      <c r="M113" t="s">
        <v>1077</v>
      </c>
      <c r="N113" s="37" t="s">
        <v>1080</v>
      </c>
      <c r="O113" t="s">
        <v>1122</v>
      </c>
      <c r="Q113" s="37" t="s">
        <v>217</v>
      </c>
      <c r="S113" t="s">
        <v>1122</v>
      </c>
    </row>
    <row r="114" spans="2:19" x14ac:dyDescent="0.25">
      <c r="B114" t="s">
        <v>1075</v>
      </c>
      <c r="C114">
        <v>0.17136388999999999</v>
      </c>
      <c r="D114">
        <v>0.5</v>
      </c>
      <c r="E114">
        <f>(C114*D114)+(C115*D115)</f>
        <v>0.103242926</v>
      </c>
      <c r="G114" s="37" t="s">
        <v>1075</v>
      </c>
      <c r="H114">
        <v>8.5002657999999995E-2</v>
      </c>
      <c r="I114">
        <v>0.5</v>
      </c>
      <c r="J114">
        <f>(H114*I114)+(H115*I115)</f>
        <v>4.7225124899999998E-2</v>
      </c>
      <c r="L114" s="37" t="s">
        <v>1075</v>
      </c>
      <c r="M114" s="37">
        <v>7.0362258999999996E-2</v>
      </c>
      <c r="N114" s="37">
        <v>0.8</v>
      </c>
      <c r="O114">
        <f>(M114+(M114*M115))</f>
        <v>7.1020409009122071E-2</v>
      </c>
      <c r="Q114" s="37" t="s">
        <v>1075</v>
      </c>
      <c r="R114" s="37">
        <v>3.5942957999999997E-2</v>
      </c>
      <c r="S114">
        <f>R114+(R114*R115)</f>
        <v>3.6037023506665239E-2</v>
      </c>
    </row>
    <row r="115" spans="2:19" x14ac:dyDescent="0.25">
      <c r="B115" t="s">
        <v>1076</v>
      </c>
      <c r="C115">
        <v>3.5121962E-2</v>
      </c>
      <c r="D115">
        <f>1-D114</f>
        <v>0.5</v>
      </c>
      <c r="G115" s="37" t="s">
        <v>1076</v>
      </c>
      <c r="H115">
        <v>9.4475918000000002E-3</v>
      </c>
      <c r="I115">
        <f>1-I114</f>
        <v>0.5</v>
      </c>
      <c r="L115" s="37" t="s">
        <v>1076</v>
      </c>
      <c r="M115" s="37">
        <v>9.3537362000000006E-3</v>
      </c>
      <c r="N115" s="37">
        <f>1-N114</f>
        <v>0.19999999999999996</v>
      </c>
      <c r="Q115" s="37" t="s">
        <v>1076</v>
      </c>
      <c r="R115" s="37">
        <v>2.6170774999999999E-3</v>
      </c>
    </row>
    <row r="116" spans="2:19" x14ac:dyDescent="0.25">
      <c r="L116" s="37"/>
      <c r="N116" s="37"/>
      <c r="Q116" s="37"/>
    </row>
    <row r="117" spans="2:19" x14ac:dyDescent="0.25">
      <c r="B117" s="37" t="s">
        <v>1078</v>
      </c>
      <c r="C117" s="37" t="s">
        <v>1077</v>
      </c>
      <c r="D117" s="37" t="s">
        <v>1080</v>
      </c>
      <c r="E117" t="s">
        <v>1079</v>
      </c>
      <c r="G117" s="37" t="s">
        <v>1078</v>
      </c>
      <c r="H117" s="37" t="s">
        <v>1077</v>
      </c>
      <c r="J117" s="37" t="s">
        <v>1079</v>
      </c>
      <c r="L117" s="37" t="s">
        <v>1078</v>
      </c>
      <c r="N117" s="37" t="s">
        <v>1080</v>
      </c>
      <c r="Q117" s="37" t="s">
        <v>1078</v>
      </c>
    </row>
    <row r="118" spans="2:19" x14ac:dyDescent="0.25">
      <c r="B118" s="37" t="s">
        <v>1075</v>
      </c>
      <c r="C118" s="37">
        <v>0.14335649</v>
      </c>
      <c r="D118" s="37">
        <v>0.5</v>
      </c>
      <c r="E118">
        <f>(C118*D118)+(C119*D119)</f>
        <v>8.7651773500000002E-2</v>
      </c>
      <c r="G118" s="37" t="s">
        <v>1075</v>
      </c>
      <c r="H118">
        <v>7.0442296000000001E-2</v>
      </c>
      <c r="I118">
        <f>I114</f>
        <v>0.5</v>
      </c>
      <c r="J118">
        <f>(H118*I118)+(H119*I119)</f>
        <v>3.9540063350000001E-2</v>
      </c>
      <c r="L118" s="37" t="s">
        <v>1075</v>
      </c>
      <c r="M118" s="37">
        <v>6.1459527999999999E-2</v>
      </c>
      <c r="N118" s="37">
        <v>0.8</v>
      </c>
      <c r="O118">
        <f>M118+(M118*M119)</f>
        <v>6.1940175698895428E-2</v>
      </c>
      <c r="Q118" s="37" t="s">
        <v>1075</v>
      </c>
      <c r="R118" s="37">
        <v>2.6885009000000001E-2</v>
      </c>
      <c r="S118">
        <f>R118+(R118*R119)</f>
        <v>2.6945755989701607E-2</v>
      </c>
    </row>
    <row r="119" spans="2:19" x14ac:dyDescent="0.25">
      <c r="B119" s="37" t="s">
        <v>1076</v>
      </c>
      <c r="C119" s="37">
        <v>3.1947057000000001E-2</v>
      </c>
      <c r="D119" s="37">
        <f>1-D118</f>
        <v>0.5</v>
      </c>
      <c r="E119">
        <f>C118+(C118*C119)</f>
        <v>0.14793630795734994</v>
      </c>
      <c r="G119" s="37" t="s">
        <v>1076</v>
      </c>
      <c r="H119">
        <v>8.6378306999999998E-3</v>
      </c>
      <c r="I119">
        <f>1-I118</f>
        <v>0.5</v>
      </c>
      <c r="L119" s="37" t="s">
        <v>1076</v>
      </c>
      <c r="M119" s="37">
        <v>7.8205562999999999E-3</v>
      </c>
      <c r="N119" s="37">
        <f>1-N118</f>
        <v>0.19999999999999996</v>
      </c>
      <c r="Q119" s="37" t="s">
        <v>1076</v>
      </c>
      <c r="R119" s="37">
        <v>2.2595115999999998E-3</v>
      </c>
    </row>
    <row r="120" spans="2:19" x14ac:dyDescent="0.25">
      <c r="J120" s="37"/>
    </row>
    <row r="121" spans="2:19" x14ac:dyDescent="0.25">
      <c r="C121">
        <v>0</v>
      </c>
      <c r="D121">
        <v>1</v>
      </c>
      <c r="E121">
        <v>2</v>
      </c>
      <c r="F121">
        <v>3</v>
      </c>
      <c r="G121">
        <v>4</v>
      </c>
    </row>
    <row r="122" spans="2:19" x14ac:dyDescent="0.25">
      <c r="B122">
        <v>1</v>
      </c>
      <c r="C122">
        <v>100</v>
      </c>
      <c r="D122">
        <f>C122-(C122*C114)</f>
        <v>82.863611000000006</v>
      </c>
      <c r="E122">
        <f>D122-(D122*C115)</f>
        <v>79.95327840327522</v>
      </c>
      <c r="F122" s="37">
        <f>E122-(E122*C115)</f>
        <v>77.145162397419966</v>
      </c>
      <c r="G122" s="37">
        <f>F122-(F122*C115)</f>
        <v>74.435672935213958</v>
      </c>
      <c r="H122">
        <f>SUM(C122:G122)</f>
        <v>414.39772473590921</v>
      </c>
      <c r="I122">
        <f>C122/H122</f>
        <v>0.24131406624814078</v>
      </c>
    </row>
    <row r="123" spans="2:19" x14ac:dyDescent="0.25">
      <c r="B123">
        <v>2</v>
      </c>
      <c r="D123">
        <v>100</v>
      </c>
      <c r="E123">
        <f>D123-(D123*C114)</f>
        <v>82.863611000000006</v>
      </c>
      <c r="F123">
        <f>E123-(E123*C115)</f>
        <v>79.95327840327522</v>
      </c>
      <c r="G123">
        <f>F123-(F123*C115)</f>
        <v>77.145162397419966</v>
      </c>
      <c r="M123">
        <f>((1-H114)*H115)+H114</f>
        <v>9.3647179385300997E-2</v>
      </c>
    </row>
    <row r="124" spans="2:19" x14ac:dyDescent="0.25">
      <c r="B124">
        <v>2</v>
      </c>
      <c r="E124">
        <v>100</v>
      </c>
      <c r="F124">
        <v>82.863611000000006</v>
      </c>
      <c r="G124">
        <v>79.95327840327522</v>
      </c>
      <c r="M124">
        <f>M123+M114</f>
        <v>0.16400943838530099</v>
      </c>
    </row>
    <row r="125" spans="2:19" x14ac:dyDescent="0.25">
      <c r="B125">
        <v>3</v>
      </c>
      <c r="F125">
        <v>100</v>
      </c>
      <c r="G125" s="37">
        <v>82.863611000000006</v>
      </c>
    </row>
    <row r="126" spans="2:19" x14ac:dyDescent="0.25">
      <c r="B126">
        <v>4</v>
      </c>
      <c r="G126">
        <v>100</v>
      </c>
    </row>
    <row r="127" spans="2:19" x14ac:dyDescent="0.25">
      <c r="H127">
        <f>SUM(C122:G126)</f>
        <v>1300.0402769398795</v>
      </c>
      <c r="I127">
        <f>500/H127</f>
        <v>0.38460346873016349</v>
      </c>
    </row>
    <row r="130" spans="2:2" x14ac:dyDescent="0.25">
      <c r="B130">
        <f>1-C114</f>
        <v>0.82863611000000004</v>
      </c>
    </row>
    <row r="131" spans="2:2" x14ac:dyDescent="0.25">
      <c r="B131">
        <f>C115*B130</f>
        <v>2.9103325967247819E-2</v>
      </c>
    </row>
    <row r="132" spans="2:2" x14ac:dyDescent="0.25">
      <c r="B132">
        <f>C114+B131</f>
        <v>0.20046721596724781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7"/>
  <sheetViews>
    <sheetView topLeftCell="A112" workbookViewId="0">
      <selection activeCell="H131" sqref="H131"/>
    </sheetView>
  </sheetViews>
  <sheetFormatPr defaultRowHeight="15" x14ac:dyDescent="0.25"/>
  <cols>
    <col min="3" max="3" width="11" bestFit="1" customWidth="1"/>
    <col min="4" max="4" width="12.42578125" customWidth="1"/>
    <col min="5" max="5" width="15.140625" customWidth="1"/>
  </cols>
  <sheetData>
    <row r="1" spans="1:8" x14ac:dyDescent="0.25">
      <c r="A1" s="2" t="s">
        <v>555</v>
      </c>
    </row>
    <row r="2" spans="1:8" x14ac:dyDescent="0.25">
      <c r="A2" t="s">
        <v>570</v>
      </c>
      <c r="B2" t="s">
        <v>284</v>
      </c>
      <c r="C2" t="s">
        <v>244</v>
      </c>
      <c r="D2" t="s">
        <v>246</v>
      </c>
      <c r="E2" t="s">
        <v>249</v>
      </c>
      <c r="F2" t="s">
        <v>248</v>
      </c>
    </row>
    <row r="3" spans="1:8" x14ac:dyDescent="0.25">
      <c r="A3" t="s">
        <v>572</v>
      </c>
      <c r="B3" t="s">
        <v>285</v>
      </c>
      <c r="C3" t="s">
        <v>245</v>
      </c>
      <c r="D3" t="s">
        <v>247</v>
      </c>
      <c r="E3" s="11" t="s">
        <v>250</v>
      </c>
      <c r="F3" s="12">
        <v>0.113</v>
      </c>
      <c r="H3" t="s">
        <v>554</v>
      </c>
    </row>
    <row r="4" spans="1:8" x14ac:dyDescent="0.25">
      <c r="D4" t="s">
        <v>551</v>
      </c>
      <c r="E4" s="11" t="s">
        <v>250</v>
      </c>
      <c r="F4" s="12">
        <v>9.4E-2</v>
      </c>
    </row>
    <row r="5" spans="1:8" x14ac:dyDescent="0.25">
      <c r="D5" t="s">
        <v>552</v>
      </c>
      <c r="E5" s="11" t="s">
        <v>250</v>
      </c>
      <c r="F5" s="13">
        <v>0.11</v>
      </c>
    </row>
    <row r="6" spans="1:8" x14ac:dyDescent="0.25">
      <c r="D6" t="s">
        <v>553</v>
      </c>
      <c r="E6" s="11" t="s">
        <v>250</v>
      </c>
      <c r="F6" s="12">
        <v>0.155</v>
      </c>
    </row>
    <row r="7" spans="1:8" x14ac:dyDescent="0.25">
      <c r="D7" s="21" t="s">
        <v>247</v>
      </c>
      <c r="E7" s="11" t="s">
        <v>251</v>
      </c>
      <c r="F7" s="12">
        <v>0.14299999999999999</v>
      </c>
    </row>
    <row r="8" spans="1:8" x14ac:dyDescent="0.25">
      <c r="D8" s="21" t="s">
        <v>551</v>
      </c>
      <c r="E8" s="11" t="s">
        <v>251</v>
      </c>
      <c r="F8" s="12">
        <v>0.17799999999999999</v>
      </c>
    </row>
    <row r="9" spans="1:8" x14ac:dyDescent="0.25">
      <c r="D9" s="21" t="s">
        <v>552</v>
      </c>
      <c r="E9" s="11" t="s">
        <v>251</v>
      </c>
      <c r="F9" s="12">
        <v>0.22800000000000001</v>
      </c>
    </row>
    <row r="10" spans="1:8" x14ac:dyDescent="0.25">
      <c r="D10" s="21" t="s">
        <v>553</v>
      </c>
      <c r="E10" s="11" t="s">
        <v>251</v>
      </c>
      <c r="F10" s="12">
        <v>0.13200000000000001</v>
      </c>
    </row>
    <row r="11" spans="1:8" x14ac:dyDescent="0.25">
      <c r="D11" s="21" t="s">
        <v>247</v>
      </c>
      <c r="E11" t="s">
        <v>252</v>
      </c>
      <c r="F11" s="12">
        <v>0.16500000000000001</v>
      </c>
    </row>
    <row r="12" spans="1:8" x14ac:dyDescent="0.25">
      <c r="D12" s="21" t="s">
        <v>551</v>
      </c>
      <c r="E12" s="21" t="s">
        <v>252</v>
      </c>
      <c r="F12" s="12">
        <v>9.4E-2</v>
      </c>
    </row>
    <row r="13" spans="1:8" x14ac:dyDescent="0.25">
      <c r="D13" s="21" t="s">
        <v>552</v>
      </c>
      <c r="E13" s="21" t="s">
        <v>252</v>
      </c>
      <c r="F13" s="12">
        <v>0.11799999999999999</v>
      </c>
    </row>
    <row r="14" spans="1:8" x14ac:dyDescent="0.25">
      <c r="D14" s="21" t="s">
        <v>553</v>
      </c>
      <c r="E14" s="21" t="s">
        <v>252</v>
      </c>
      <c r="F14" s="12">
        <v>0.14000000000000001</v>
      </c>
    </row>
    <row r="15" spans="1:8" x14ac:dyDescent="0.25">
      <c r="D15" t="s">
        <v>253</v>
      </c>
      <c r="E15" s="11" t="s">
        <v>254</v>
      </c>
      <c r="F15" s="12">
        <v>0.41899999999999998</v>
      </c>
    </row>
    <row r="16" spans="1:8" x14ac:dyDescent="0.25">
      <c r="D16" s="21" t="s">
        <v>253</v>
      </c>
      <c r="E16" s="11" t="s">
        <v>255</v>
      </c>
      <c r="F16" s="12">
        <v>0.28799999999999998</v>
      </c>
    </row>
    <row r="17" spans="1:8" s="21" customFormat="1" x14ac:dyDescent="0.25">
      <c r="D17" s="21" t="s">
        <v>253</v>
      </c>
      <c r="E17" s="11" t="s">
        <v>256</v>
      </c>
      <c r="F17" s="12">
        <v>7.6999999999999999E-2</v>
      </c>
    </row>
    <row r="18" spans="1:8" s="21" customFormat="1" x14ac:dyDescent="0.25">
      <c r="D18" s="21" t="s">
        <v>253</v>
      </c>
      <c r="E18" s="11" t="s">
        <v>257</v>
      </c>
      <c r="F18" s="12">
        <v>4.5999999999999999E-2</v>
      </c>
    </row>
    <row r="19" spans="1:8" s="21" customFormat="1" x14ac:dyDescent="0.25">
      <c r="D19" s="21" t="s">
        <v>253</v>
      </c>
      <c r="E19" s="11" t="s">
        <v>258</v>
      </c>
      <c r="F19" s="12">
        <v>1.7999999999999999E-2</v>
      </c>
    </row>
    <row r="20" spans="1:8" s="21" customFormat="1" x14ac:dyDescent="0.25">
      <c r="D20" s="21" t="s">
        <v>253</v>
      </c>
      <c r="E20" s="11" t="s">
        <v>259</v>
      </c>
      <c r="F20" s="12">
        <v>0.03</v>
      </c>
    </row>
    <row r="21" spans="1:8" s="21" customFormat="1" x14ac:dyDescent="0.25">
      <c r="D21" s="21" t="s">
        <v>253</v>
      </c>
      <c r="E21" s="11" t="s">
        <v>260</v>
      </c>
      <c r="F21" s="12">
        <v>2.1999999999999999E-2</v>
      </c>
    </row>
    <row r="22" spans="1:8" s="21" customFormat="1" x14ac:dyDescent="0.25">
      <c r="D22" s="21" t="s">
        <v>253</v>
      </c>
      <c r="E22" s="11" t="s">
        <v>261</v>
      </c>
      <c r="F22" s="12">
        <v>0.04</v>
      </c>
    </row>
    <row r="23" spans="1:8" s="21" customFormat="1" x14ac:dyDescent="0.25">
      <c r="D23" s="21" t="s">
        <v>253</v>
      </c>
      <c r="E23" s="11" t="s">
        <v>262</v>
      </c>
      <c r="F23" s="12">
        <v>0.105</v>
      </c>
    </row>
    <row r="24" spans="1:8" s="21" customFormat="1" x14ac:dyDescent="0.25">
      <c r="D24" s="21" t="s">
        <v>253</v>
      </c>
      <c r="E24" s="11" t="s">
        <v>265</v>
      </c>
      <c r="F24" s="12">
        <v>8.5000000000000006E-2</v>
      </c>
    </row>
    <row r="25" spans="1:8" s="21" customFormat="1" x14ac:dyDescent="0.25">
      <c r="D25" s="21" t="s">
        <v>253</v>
      </c>
      <c r="E25" t="s">
        <v>263</v>
      </c>
      <c r="F25" s="12">
        <v>4.3999999999999997E-2</v>
      </c>
    </row>
    <row r="27" spans="1:8" x14ac:dyDescent="0.25">
      <c r="A27" s="2" t="s">
        <v>581</v>
      </c>
    </row>
    <row r="28" spans="1:8" x14ac:dyDescent="0.25">
      <c r="A28" t="s">
        <v>565</v>
      </c>
      <c r="B28" t="s">
        <v>286</v>
      </c>
      <c r="C28" t="s">
        <v>244</v>
      </c>
      <c r="D28" t="s">
        <v>246</v>
      </c>
      <c r="E28" t="s">
        <v>249</v>
      </c>
      <c r="F28" t="s">
        <v>248</v>
      </c>
    </row>
    <row r="29" spans="1:8" x14ac:dyDescent="0.25">
      <c r="A29" t="s">
        <v>571</v>
      </c>
      <c r="B29" t="s">
        <v>287</v>
      </c>
      <c r="C29" t="s">
        <v>266</v>
      </c>
      <c r="D29" t="s">
        <v>267</v>
      </c>
      <c r="E29" s="11" t="s">
        <v>254</v>
      </c>
      <c r="F29" t="s">
        <v>268</v>
      </c>
      <c r="H29" t="s">
        <v>556</v>
      </c>
    </row>
    <row r="30" spans="1:8" x14ac:dyDescent="0.25">
      <c r="D30" s="21" t="s">
        <v>267</v>
      </c>
      <c r="E30" s="11" t="s">
        <v>256</v>
      </c>
      <c r="F30" t="s">
        <v>269</v>
      </c>
    </row>
    <row r="31" spans="1:8" x14ac:dyDescent="0.25">
      <c r="D31" s="21" t="s">
        <v>267</v>
      </c>
      <c r="E31" s="11" t="s">
        <v>257</v>
      </c>
      <c r="F31" t="s">
        <v>270</v>
      </c>
    </row>
    <row r="32" spans="1:8" x14ac:dyDescent="0.25">
      <c r="D32" s="21" t="s">
        <v>267</v>
      </c>
      <c r="E32" s="11" t="s">
        <v>258</v>
      </c>
      <c r="F32" t="s">
        <v>271</v>
      </c>
    </row>
    <row r="33" spans="4:12" x14ac:dyDescent="0.25">
      <c r="D33" s="21" t="s">
        <v>267</v>
      </c>
      <c r="E33" s="11" t="s">
        <v>259</v>
      </c>
      <c r="F33" t="s">
        <v>272</v>
      </c>
    </row>
    <row r="34" spans="4:12" x14ac:dyDescent="0.25">
      <c r="D34" s="21" t="s">
        <v>267</v>
      </c>
      <c r="E34" s="11" t="s">
        <v>260</v>
      </c>
      <c r="F34" t="s">
        <v>264</v>
      </c>
    </row>
    <row r="35" spans="4:12" x14ac:dyDescent="0.25">
      <c r="D35" s="21" t="s">
        <v>267</v>
      </c>
      <c r="E35" s="11" t="s">
        <v>261</v>
      </c>
      <c r="F35" t="s">
        <v>273</v>
      </c>
    </row>
    <row r="36" spans="4:12" x14ac:dyDescent="0.25">
      <c r="D36" s="21" t="s">
        <v>267</v>
      </c>
      <c r="E36" s="11" t="s">
        <v>262</v>
      </c>
      <c r="F36" t="s">
        <v>274</v>
      </c>
    </row>
    <row r="37" spans="4:12" x14ac:dyDescent="0.25">
      <c r="D37" s="21" t="s">
        <v>267</v>
      </c>
      <c r="E37" s="11" t="s">
        <v>283</v>
      </c>
      <c r="F37" t="s">
        <v>275</v>
      </c>
    </row>
    <row r="38" spans="4:12" x14ac:dyDescent="0.25">
      <c r="D38" s="21" t="s">
        <v>267</v>
      </c>
      <c r="E38" s="11" t="s">
        <v>279</v>
      </c>
      <c r="F38" t="s">
        <v>276</v>
      </c>
      <c r="L38" s="32" t="s">
        <v>549</v>
      </c>
    </row>
    <row r="39" spans="4:12" x14ac:dyDescent="0.25">
      <c r="D39" s="21" t="s">
        <v>267</v>
      </c>
      <c r="E39" s="11" t="s">
        <v>280</v>
      </c>
      <c r="F39" t="s">
        <v>277</v>
      </c>
    </row>
    <row r="40" spans="4:12" x14ac:dyDescent="0.25">
      <c r="D40" s="21" t="s">
        <v>267</v>
      </c>
      <c r="E40" s="11" t="s">
        <v>281</v>
      </c>
      <c r="F40" t="s">
        <v>278</v>
      </c>
    </row>
    <row r="41" spans="4:12" x14ac:dyDescent="0.25">
      <c r="D41" s="21" t="s">
        <v>267</v>
      </c>
      <c r="E41" t="s">
        <v>282</v>
      </c>
      <c r="F41" s="12">
        <v>2.3E-3</v>
      </c>
    </row>
    <row r="42" spans="4:12" s="21" customFormat="1" x14ac:dyDescent="0.25">
      <c r="D42" s="21" t="s">
        <v>139</v>
      </c>
      <c r="E42" s="11" t="s">
        <v>255</v>
      </c>
      <c r="F42" s="12">
        <v>0.41360000000000002</v>
      </c>
      <c r="G42" s="21">
        <v>76</v>
      </c>
      <c r="H42" s="16">
        <f t="shared" ref="H42:H47" si="0">G42*F42</f>
        <v>31.433600000000002</v>
      </c>
    </row>
    <row r="43" spans="4:12" s="21" customFormat="1" x14ac:dyDescent="0.25">
      <c r="D43" s="21" t="s">
        <v>140</v>
      </c>
      <c r="E43" s="11" t="s">
        <v>255</v>
      </c>
      <c r="F43" s="12">
        <v>0.2772</v>
      </c>
      <c r="G43" s="21">
        <v>143</v>
      </c>
      <c r="H43" s="16">
        <f t="shared" si="0"/>
        <v>39.639600000000002</v>
      </c>
    </row>
    <row r="44" spans="4:12" s="21" customFormat="1" x14ac:dyDescent="0.25">
      <c r="D44" s="21" t="s">
        <v>141</v>
      </c>
      <c r="E44" s="11" t="s">
        <v>255</v>
      </c>
      <c r="F44" s="12">
        <v>0.40910000000000002</v>
      </c>
      <c r="G44" s="21">
        <v>103</v>
      </c>
      <c r="H44" s="16">
        <f t="shared" si="0"/>
        <v>42.137300000000003</v>
      </c>
    </row>
    <row r="45" spans="4:12" s="21" customFormat="1" x14ac:dyDescent="0.25">
      <c r="D45" s="21" t="s">
        <v>142</v>
      </c>
      <c r="E45" s="11" t="s">
        <v>255</v>
      </c>
      <c r="F45" s="12">
        <v>0.18640000000000001</v>
      </c>
      <c r="G45" s="21">
        <v>65</v>
      </c>
      <c r="H45" s="16">
        <f t="shared" si="0"/>
        <v>12.116000000000001</v>
      </c>
    </row>
    <row r="46" spans="4:12" s="21" customFormat="1" x14ac:dyDescent="0.25">
      <c r="D46" s="21" t="s">
        <v>143</v>
      </c>
      <c r="E46" s="11" t="s">
        <v>255</v>
      </c>
      <c r="F46" s="12">
        <v>0.2432</v>
      </c>
      <c r="G46" s="21">
        <v>25</v>
      </c>
      <c r="H46" s="16">
        <f t="shared" si="0"/>
        <v>6.08</v>
      </c>
    </row>
    <row r="47" spans="4:12" s="21" customFormat="1" x14ac:dyDescent="0.25">
      <c r="D47" s="21" t="s">
        <v>392</v>
      </c>
      <c r="E47" s="11" t="s">
        <v>255</v>
      </c>
      <c r="F47" s="12">
        <v>8.4099999999999994E-2</v>
      </c>
      <c r="G47" s="21">
        <v>12</v>
      </c>
      <c r="H47" s="16">
        <f t="shared" si="0"/>
        <v>1.0091999999999999</v>
      </c>
      <c r="J47" s="21">
        <f>1/12</f>
        <v>8.3333333333333329E-2</v>
      </c>
    </row>
    <row r="48" spans="4:12" s="21" customFormat="1" x14ac:dyDescent="0.25">
      <c r="D48" s="21" t="s">
        <v>139</v>
      </c>
      <c r="E48" s="11" t="s">
        <v>254</v>
      </c>
      <c r="F48" s="12">
        <v>0.57899999999999996</v>
      </c>
    </row>
    <row r="49" spans="4:6" s="21" customFormat="1" x14ac:dyDescent="0.25">
      <c r="D49" s="21" t="s">
        <v>140</v>
      </c>
      <c r="E49" s="11" t="s">
        <v>254</v>
      </c>
      <c r="F49" s="12">
        <v>0.42</v>
      </c>
    </row>
    <row r="50" spans="4:6" s="21" customFormat="1" x14ac:dyDescent="0.25">
      <c r="D50" s="21" t="s">
        <v>141</v>
      </c>
      <c r="E50" s="11" t="s">
        <v>254</v>
      </c>
      <c r="F50" s="12">
        <v>0.53180000000000005</v>
      </c>
    </row>
    <row r="51" spans="4:6" s="21" customFormat="1" x14ac:dyDescent="0.25">
      <c r="D51" s="21" t="s">
        <v>142</v>
      </c>
      <c r="E51" s="11" t="s">
        <v>254</v>
      </c>
      <c r="F51" s="12">
        <v>0.29320000000000002</v>
      </c>
    </row>
    <row r="52" spans="4:6" s="21" customFormat="1" x14ac:dyDescent="0.25">
      <c r="D52" s="21" t="s">
        <v>143</v>
      </c>
      <c r="E52" s="11" t="s">
        <v>254</v>
      </c>
      <c r="F52" s="12">
        <v>0.36359999999999998</v>
      </c>
    </row>
    <row r="53" spans="4:6" s="21" customFormat="1" x14ac:dyDescent="0.25">
      <c r="D53" s="21" t="s">
        <v>392</v>
      </c>
      <c r="E53" s="11" t="s">
        <v>254</v>
      </c>
      <c r="F53" s="12">
        <v>0.25</v>
      </c>
    </row>
    <row r="54" spans="4:6" s="21" customFormat="1" x14ac:dyDescent="0.25">
      <c r="D54" s="21" t="s">
        <v>139</v>
      </c>
      <c r="E54" s="11" t="s">
        <v>545</v>
      </c>
      <c r="F54" s="12">
        <v>0.14499999999999999</v>
      </c>
    </row>
    <row r="55" spans="4:6" s="21" customFormat="1" x14ac:dyDescent="0.25">
      <c r="D55" s="21" t="s">
        <v>140</v>
      </c>
      <c r="E55" s="11" t="s">
        <v>545</v>
      </c>
      <c r="F55" s="12">
        <v>9.7000000000000003E-2</v>
      </c>
    </row>
    <row r="56" spans="4:6" s="21" customFormat="1" x14ac:dyDescent="0.25">
      <c r="D56" s="21" t="s">
        <v>141</v>
      </c>
      <c r="E56" s="11" t="s">
        <v>545</v>
      </c>
      <c r="F56" s="12">
        <v>5.9299999999999999E-2</v>
      </c>
    </row>
    <row r="57" spans="4:6" s="21" customFormat="1" x14ac:dyDescent="0.25">
      <c r="D57" s="21" t="s">
        <v>142</v>
      </c>
      <c r="E57" s="11" t="s">
        <v>545</v>
      </c>
      <c r="F57" s="12">
        <v>1.4200000000000001E-2</v>
      </c>
    </row>
    <row r="58" spans="4:6" s="21" customFormat="1" x14ac:dyDescent="0.25">
      <c r="D58" s="21" t="s">
        <v>143</v>
      </c>
      <c r="E58" s="11" t="s">
        <v>545</v>
      </c>
      <c r="F58" s="12">
        <v>4.3499999999999997E-2</v>
      </c>
    </row>
    <row r="59" spans="4:6" s="21" customFormat="1" x14ac:dyDescent="0.25">
      <c r="D59" s="21" t="s">
        <v>392</v>
      </c>
      <c r="E59" s="11" t="s">
        <v>545</v>
      </c>
      <c r="F59" s="12">
        <v>8.4099999999999994E-2</v>
      </c>
    </row>
    <row r="60" spans="4:6" s="21" customFormat="1" x14ac:dyDescent="0.25">
      <c r="D60" s="21" t="s">
        <v>139</v>
      </c>
      <c r="E60" s="11" t="s">
        <v>281</v>
      </c>
      <c r="F60" s="12">
        <v>5.2600000000000001E-2</v>
      </c>
    </row>
    <row r="61" spans="4:6" s="21" customFormat="1" x14ac:dyDescent="0.25">
      <c r="D61" s="21" t="s">
        <v>140</v>
      </c>
      <c r="E61" s="11" t="s">
        <v>281</v>
      </c>
      <c r="F61" s="12">
        <v>8.4199999999999997E-2</v>
      </c>
    </row>
    <row r="62" spans="4:6" s="21" customFormat="1" x14ac:dyDescent="0.25">
      <c r="D62" s="21" t="s">
        <v>141</v>
      </c>
      <c r="E62" s="11" t="s">
        <v>281</v>
      </c>
      <c r="F62" s="12">
        <v>8.7999999999999995E-2</v>
      </c>
    </row>
    <row r="63" spans="4:6" s="21" customFormat="1" x14ac:dyDescent="0.25">
      <c r="D63" s="21" t="s">
        <v>142</v>
      </c>
      <c r="E63" s="11" t="s">
        <v>281</v>
      </c>
      <c r="F63" s="12">
        <v>3.15E-2</v>
      </c>
    </row>
    <row r="64" spans="4:6" s="21" customFormat="1" x14ac:dyDescent="0.25">
      <c r="D64" s="21" t="s">
        <v>143</v>
      </c>
      <c r="E64" s="11" t="s">
        <v>281</v>
      </c>
      <c r="F64" s="12">
        <v>4.2700000000000002E-2</v>
      </c>
    </row>
    <row r="65" spans="1:11" s="21" customFormat="1" x14ac:dyDescent="0.25">
      <c r="D65" s="21" t="s">
        <v>392</v>
      </c>
      <c r="E65" s="11" t="s">
        <v>281</v>
      </c>
      <c r="F65" s="12">
        <v>2.8999999999999998E-3</v>
      </c>
    </row>
    <row r="66" spans="1:11" x14ac:dyDescent="0.25">
      <c r="B66" t="s">
        <v>288</v>
      </c>
      <c r="D66" t="s">
        <v>546</v>
      </c>
      <c r="E66" s="11" t="s">
        <v>255</v>
      </c>
      <c r="F66" s="12">
        <v>0.745</v>
      </c>
      <c r="G66">
        <v>60.36</v>
      </c>
      <c r="H66">
        <v>84.88</v>
      </c>
      <c r="I66" t="s">
        <v>548</v>
      </c>
    </row>
    <row r="67" spans="1:11" s="21" customFormat="1" x14ac:dyDescent="0.25">
      <c r="B67" s="21" t="s">
        <v>547</v>
      </c>
      <c r="D67" s="21" t="s">
        <v>546</v>
      </c>
      <c r="E67" s="11" t="s">
        <v>255</v>
      </c>
      <c r="F67" s="12">
        <v>0.249</v>
      </c>
      <c r="G67" s="21">
        <v>20.68</v>
      </c>
      <c r="H67" s="21">
        <v>29.57</v>
      </c>
    </row>
    <row r="68" spans="1:11" s="37" customFormat="1" x14ac:dyDescent="0.25">
      <c r="B68" s="37" t="s">
        <v>645</v>
      </c>
      <c r="D68" s="37" t="s">
        <v>546</v>
      </c>
      <c r="E68" s="11" t="s">
        <v>255</v>
      </c>
      <c r="F68" s="12">
        <v>0.43822843822843821</v>
      </c>
    </row>
    <row r="69" spans="1:11" s="21" customFormat="1" x14ac:dyDescent="0.25">
      <c r="E69" s="11"/>
      <c r="F69" s="12"/>
    </row>
    <row r="70" spans="1:11" x14ac:dyDescent="0.25">
      <c r="A70" s="2" t="s">
        <v>537</v>
      </c>
    </row>
    <row r="71" spans="1:11" x14ac:dyDescent="0.25">
      <c r="A71" t="s">
        <v>570</v>
      </c>
      <c r="B71" t="s">
        <v>286</v>
      </c>
      <c r="C71" t="s">
        <v>244</v>
      </c>
      <c r="D71" t="s">
        <v>246</v>
      </c>
      <c r="E71" t="s">
        <v>249</v>
      </c>
      <c r="F71" t="s">
        <v>248</v>
      </c>
      <c r="G71" t="s">
        <v>106</v>
      </c>
      <c r="H71" t="s">
        <v>1347</v>
      </c>
    </row>
    <row r="72" spans="1:11" x14ac:dyDescent="0.25">
      <c r="A72">
        <v>2009</v>
      </c>
      <c r="B72" t="s">
        <v>288</v>
      </c>
      <c r="C72" t="s">
        <v>266</v>
      </c>
      <c r="D72" t="s">
        <v>289</v>
      </c>
      <c r="E72" t="s">
        <v>290</v>
      </c>
      <c r="F72" s="12">
        <v>0.373</v>
      </c>
      <c r="H72" s="11"/>
      <c r="K72">
        <f>125/409</f>
        <v>0.30562347188264061</v>
      </c>
    </row>
    <row r="73" spans="1:11" x14ac:dyDescent="0.25">
      <c r="E73" t="s">
        <v>291</v>
      </c>
      <c r="F73" s="12">
        <v>0.22700000000000001</v>
      </c>
      <c r="H73" s="11"/>
      <c r="K73">
        <f>362-90</f>
        <v>272</v>
      </c>
    </row>
    <row r="74" spans="1:11" x14ac:dyDescent="0.25">
      <c r="E74" t="s">
        <v>254</v>
      </c>
      <c r="F74" s="12">
        <v>0.68700000000000006</v>
      </c>
      <c r="H74" s="11"/>
    </row>
    <row r="75" spans="1:11" x14ac:dyDescent="0.25">
      <c r="E75" t="s">
        <v>255</v>
      </c>
      <c r="F75" s="12">
        <v>0.52600000000000002</v>
      </c>
      <c r="H75" s="11"/>
    </row>
    <row r="76" spans="1:11" s="21" customFormat="1" x14ac:dyDescent="0.25">
      <c r="E76" s="21" t="s">
        <v>538</v>
      </c>
      <c r="F76" s="12">
        <v>0.82299999999999995</v>
      </c>
      <c r="H76" s="11"/>
    </row>
    <row r="77" spans="1:11" s="21" customFormat="1" x14ac:dyDescent="0.25">
      <c r="E77" s="21" t="s">
        <v>539</v>
      </c>
      <c r="F77" s="12">
        <v>0.90300000000000002</v>
      </c>
      <c r="H77" s="11"/>
    </row>
    <row r="78" spans="1:11" x14ac:dyDescent="0.25">
      <c r="E78" t="s">
        <v>250</v>
      </c>
      <c r="F78" s="12">
        <v>0.157</v>
      </c>
      <c r="H78" s="11"/>
    </row>
    <row r="79" spans="1:11" x14ac:dyDescent="0.25">
      <c r="E79" t="s">
        <v>256</v>
      </c>
      <c r="F79" s="12">
        <v>0.108</v>
      </c>
      <c r="H79" s="11"/>
    </row>
    <row r="80" spans="1:11" x14ac:dyDescent="0.25">
      <c r="E80" t="s">
        <v>257</v>
      </c>
      <c r="F80" s="12">
        <v>5.3999999999999999E-2</v>
      </c>
      <c r="H80" s="11"/>
    </row>
    <row r="81" spans="4:8" x14ac:dyDescent="0.25">
      <c r="E81" t="s">
        <v>258</v>
      </c>
      <c r="F81" s="12">
        <v>5.1999999999999998E-2</v>
      </c>
      <c r="H81" s="11"/>
    </row>
    <row r="82" spans="4:8" x14ac:dyDescent="0.25">
      <c r="E82" t="s">
        <v>259</v>
      </c>
      <c r="F82" s="12">
        <v>3.5999999999999997E-2</v>
      </c>
      <c r="H82" s="11"/>
    </row>
    <row r="83" spans="4:8" x14ac:dyDescent="0.25">
      <c r="E83" t="s">
        <v>260</v>
      </c>
      <c r="F83" s="12">
        <v>0.05</v>
      </c>
      <c r="H83" s="11"/>
    </row>
    <row r="84" spans="4:8" x14ac:dyDescent="0.25">
      <c r="E84" t="s">
        <v>261</v>
      </c>
      <c r="F84" s="12">
        <v>7.1999999999999995E-2</v>
      </c>
      <c r="H84" s="11"/>
    </row>
    <row r="85" spans="4:8" x14ac:dyDescent="0.25">
      <c r="E85" t="s">
        <v>262</v>
      </c>
      <c r="F85" s="12">
        <v>5.3999999999999999E-2</v>
      </c>
    </row>
    <row r="86" spans="4:8" x14ac:dyDescent="0.25">
      <c r="D86" t="s">
        <v>292</v>
      </c>
      <c r="E86" s="11" t="s">
        <v>255</v>
      </c>
      <c r="F86" s="12">
        <v>0.61299999999999999</v>
      </c>
      <c r="G86">
        <v>38</v>
      </c>
    </row>
    <row r="87" spans="4:8" x14ac:dyDescent="0.25">
      <c r="E87" s="11" t="s">
        <v>250</v>
      </c>
      <c r="F87" s="12">
        <v>0.161</v>
      </c>
    </row>
    <row r="88" spans="4:8" x14ac:dyDescent="0.25">
      <c r="E88" t="s">
        <v>293</v>
      </c>
      <c r="F88" s="12">
        <v>0.45200000000000001</v>
      </c>
    </row>
    <row r="89" spans="4:8" s="21" customFormat="1" x14ac:dyDescent="0.25">
      <c r="D89" s="21" t="s">
        <v>540</v>
      </c>
      <c r="E89" s="11" t="s">
        <v>255</v>
      </c>
      <c r="F89" s="12">
        <v>0.53500000000000003</v>
      </c>
      <c r="G89" s="21">
        <v>54</v>
      </c>
    </row>
    <row r="90" spans="4:8" s="21" customFormat="1" x14ac:dyDescent="0.25">
      <c r="E90" s="11" t="s">
        <v>250</v>
      </c>
      <c r="F90" s="12">
        <v>0.16800000000000001</v>
      </c>
    </row>
    <row r="91" spans="4:8" s="21" customFormat="1" x14ac:dyDescent="0.25">
      <c r="E91" s="21" t="s">
        <v>293</v>
      </c>
      <c r="F91" s="12">
        <v>0.36599999999999999</v>
      </c>
    </row>
    <row r="92" spans="4:8" s="21" customFormat="1" x14ac:dyDescent="0.25">
      <c r="D92" s="21" t="s">
        <v>541</v>
      </c>
      <c r="E92" s="11" t="s">
        <v>255</v>
      </c>
      <c r="F92" s="12">
        <v>0.52900000000000003</v>
      </c>
      <c r="G92" s="21">
        <v>65</v>
      </c>
    </row>
    <row r="93" spans="4:8" s="21" customFormat="1" x14ac:dyDescent="0.25">
      <c r="E93" s="11" t="s">
        <v>250</v>
      </c>
      <c r="F93" s="12">
        <v>0.17100000000000001</v>
      </c>
    </row>
    <row r="94" spans="4:8" s="21" customFormat="1" x14ac:dyDescent="0.25">
      <c r="E94" s="21" t="s">
        <v>293</v>
      </c>
      <c r="F94" s="12">
        <v>0.35799999999999998</v>
      </c>
    </row>
    <row r="95" spans="4:8" s="21" customFormat="1" x14ac:dyDescent="0.25">
      <c r="D95" s="21" t="s">
        <v>542</v>
      </c>
      <c r="E95" s="11" t="s">
        <v>255</v>
      </c>
      <c r="F95" s="12">
        <v>0.495</v>
      </c>
      <c r="G95" s="21">
        <v>54</v>
      </c>
    </row>
    <row r="96" spans="4:8" s="21" customFormat="1" x14ac:dyDescent="0.25">
      <c r="E96" s="11" t="s">
        <v>250</v>
      </c>
      <c r="F96" s="12">
        <v>0.13800000000000001</v>
      </c>
    </row>
    <row r="97" spans="1:7" s="21" customFormat="1" x14ac:dyDescent="0.25">
      <c r="E97" s="21" t="s">
        <v>293</v>
      </c>
      <c r="F97" s="12">
        <v>0.35799999999999998</v>
      </c>
    </row>
    <row r="98" spans="1:7" s="21" customFormat="1" x14ac:dyDescent="0.25">
      <c r="D98" s="21" t="s">
        <v>543</v>
      </c>
      <c r="E98" s="11" t="s">
        <v>255</v>
      </c>
      <c r="F98" s="12">
        <v>0.495</v>
      </c>
      <c r="G98" s="21">
        <v>51</v>
      </c>
    </row>
    <row r="99" spans="1:7" s="21" customFormat="1" x14ac:dyDescent="0.25">
      <c r="E99" s="11" t="s">
        <v>250</v>
      </c>
      <c r="F99" s="12">
        <v>0.14599999999999999</v>
      </c>
    </row>
    <row r="100" spans="1:7" s="21" customFormat="1" x14ac:dyDescent="0.25">
      <c r="E100" s="21" t="s">
        <v>293</v>
      </c>
      <c r="F100" s="12">
        <v>0.35</v>
      </c>
    </row>
    <row r="101" spans="1:7" x14ac:dyDescent="0.25">
      <c r="D101" t="s">
        <v>294</v>
      </c>
      <c r="E101" t="s">
        <v>295</v>
      </c>
      <c r="F101" s="13">
        <v>0.4</v>
      </c>
    </row>
    <row r="102" spans="1:7" x14ac:dyDescent="0.25">
      <c r="E102" t="s">
        <v>291</v>
      </c>
      <c r="F102" s="12">
        <v>0.28899999999999998</v>
      </c>
    </row>
    <row r="104" spans="1:7" x14ac:dyDescent="0.25">
      <c r="A104" s="2" t="s">
        <v>544</v>
      </c>
    </row>
    <row r="105" spans="1:7" x14ac:dyDescent="0.25">
      <c r="A105" s="21" t="s">
        <v>565</v>
      </c>
      <c r="B105" t="s">
        <v>286</v>
      </c>
      <c r="C105" t="s">
        <v>244</v>
      </c>
      <c r="D105" t="s">
        <v>246</v>
      </c>
      <c r="E105" t="s">
        <v>249</v>
      </c>
      <c r="F105" t="s">
        <v>248</v>
      </c>
    </row>
    <row r="106" spans="1:7" x14ac:dyDescent="0.25">
      <c r="A106" t="s">
        <v>580</v>
      </c>
      <c r="B106" t="s">
        <v>296</v>
      </c>
      <c r="C106" t="s">
        <v>28</v>
      </c>
      <c r="D106" t="s">
        <v>297</v>
      </c>
      <c r="E106" t="s">
        <v>298</v>
      </c>
      <c r="F106" s="13">
        <v>0.68</v>
      </c>
    </row>
    <row r="107" spans="1:7" x14ac:dyDescent="0.25">
      <c r="B107" t="s">
        <v>299</v>
      </c>
      <c r="E107" t="s">
        <v>298</v>
      </c>
      <c r="F107" s="13">
        <v>0.56999999999999995</v>
      </c>
    </row>
    <row r="108" spans="1:7" x14ac:dyDescent="0.25">
      <c r="B108" t="s">
        <v>300</v>
      </c>
      <c r="E108" t="s">
        <v>298</v>
      </c>
      <c r="F108" s="13">
        <v>0.42</v>
      </c>
    </row>
    <row r="109" spans="1:7" x14ac:dyDescent="0.25">
      <c r="E109" s="11" t="s">
        <v>250</v>
      </c>
      <c r="F109" t="s">
        <v>301</v>
      </c>
    </row>
    <row r="110" spans="1:7" x14ac:dyDescent="0.25">
      <c r="E110" s="11" t="s">
        <v>256</v>
      </c>
      <c r="F110" t="s">
        <v>302</v>
      </c>
    </row>
    <row r="111" spans="1:7" x14ac:dyDescent="0.25">
      <c r="E111" s="11" t="s">
        <v>257</v>
      </c>
      <c r="F111" t="s">
        <v>303</v>
      </c>
    </row>
    <row r="112" spans="1:7" x14ac:dyDescent="0.25">
      <c r="E112" s="11" t="s">
        <v>258</v>
      </c>
      <c r="F112" t="s">
        <v>304</v>
      </c>
    </row>
    <row r="113" spans="1:6" x14ac:dyDescent="0.25">
      <c r="E113" s="11" t="s">
        <v>259</v>
      </c>
      <c r="F113" t="s">
        <v>305</v>
      </c>
    </row>
    <row r="114" spans="1:6" x14ac:dyDescent="0.25">
      <c r="E114" s="11" t="s">
        <v>260</v>
      </c>
      <c r="F114" t="s">
        <v>306</v>
      </c>
    </row>
    <row r="115" spans="1:6" x14ac:dyDescent="0.25">
      <c r="E115" s="11" t="s">
        <v>261</v>
      </c>
      <c r="F115" t="s">
        <v>307</v>
      </c>
    </row>
    <row r="116" spans="1:6" x14ac:dyDescent="0.25">
      <c r="E116" t="s">
        <v>262</v>
      </c>
      <c r="F116" t="s">
        <v>308</v>
      </c>
    </row>
    <row r="118" spans="1:6" x14ac:dyDescent="0.25">
      <c r="A118" s="2" t="s">
        <v>557</v>
      </c>
    </row>
    <row r="119" spans="1:6" x14ac:dyDescent="0.25">
      <c r="A119" s="21" t="s">
        <v>565</v>
      </c>
      <c r="B119" s="21" t="s">
        <v>286</v>
      </c>
      <c r="C119" s="21" t="s">
        <v>244</v>
      </c>
      <c r="D119" s="21" t="s">
        <v>246</v>
      </c>
      <c r="E119" s="21" t="s">
        <v>249</v>
      </c>
      <c r="F119" s="21" t="s">
        <v>248</v>
      </c>
    </row>
    <row r="120" spans="1:6" x14ac:dyDescent="0.25">
      <c r="A120">
        <v>2008</v>
      </c>
      <c r="B120" t="s">
        <v>559</v>
      </c>
      <c r="C120" t="s">
        <v>266</v>
      </c>
      <c r="D120" t="s">
        <v>558</v>
      </c>
      <c r="E120" t="s">
        <v>560</v>
      </c>
      <c r="F120" s="12">
        <v>0.60199999999999998</v>
      </c>
    </row>
    <row r="121" spans="1:6" x14ac:dyDescent="0.25">
      <c r="B121" t="s">
        <v>561</v>
      </c>
      <c r="C121" t="s">
        <v>266</v>
      </c>
      <c r="D121" t="s">
        <v>558</v>
      </c>
      <c r="E121" t="s">
        <v>560</v>
      </c>
      <c r="F121" s="12">
        <v>0.33600000000000002</v>
      </c>
    </row>
    <row r="123" spans="1:6" x14ac:dyDescent="0.25">
      <c r="A123" s="2" t="s">
        <v>562</v>
      </c>
    </row>
    <row r="124" spans="1:6" x14ac:dyDescent="0.25">
      <c r="A124" t="s">
        <v>565</v>
      </c>
      <c r="B124" s="21" t="s">
        <v>286</v>
      </c>
      <c r="C124" s="21" t="s">
        <v>244</v>
      </c>
      <c r="D124" s="21" t="s">
        <v>246</v>
      </c>
      <c r="E124" s="21" t="s">
        <v>249</v>
      </c>
      <c r="F124" s="21" t="s">
        <v>248</v>
      </c>
    </row>
    <row r="125" spans="1:6" x14ac:dyDescent="0.25">
      <c r="A125" t="s">
        <v>569</v>
      </c>
      <c r="B125" t="s">
        <v>559</v>
      </c>
      <c r="C125" t="s">
        <v>266</v>
      </c>
      <c r="D125" t="s">
        <v>563</v>
      </c>
      <c r="E125" t="s">
        <v>255</v>
      </c>
      <c r="F125" s="12">
        <v>0.64900000000000002</v>
      </c>
    </row>
    <row r="126" spans="1:6" x14ac:dyDescent="0.25">
      <c r="B126" t="s">
        <v>561</v>
      </c>
      <c r="D126" t="s">
        <v>564</v>
      </c>
      <c r="E126" t="s">
        <v>255</v>
      </c>
      <c r="F126" s="12">
        <v>0.28199999999999997</v>
      </c>
    </row>
    <row r="128" spans="1:6" x14ac:dyDescent="0.25">
      <c r="A128" s="2" t="s">
        <v>566</v>
      </c>
    </row>
    <row r="129" spans="1:8" x14ac:dyDescent="0.25">
      <c r="A129" s="21" t="s">
        <v>565</v>
      </c>
      <c r="B129" s="21" t="s">
        <v>286</v>
      </c>
      <c r="C129" s="21" t="s">
        <v>244</v>
      </c>
      <c r="D129" s="21" t="s">
        <v>246</v>
      </c>
      <c r="E129" s="21" t="s">
        <v>249</v>
      </c>
      <c r="F129" s="21" t="s">
        <v>248</v>
      </c>
    </row>
    <row r="130" spans="1:8" x14ac:dyDescent="0.25">
      <c r="A130" t="s">
        <v>569</v>
      </c>
      <c r="B130" t="s">
        <v>559</v>
      </c>
      <c r="C130" t="s">
        <v>266</v>
      </c>
      <c r="D130" t="s">
        <v>567</v>
      </c>
      <c r="E130" t="s">
        <v>254</v>
      </c>
      <c r="F130" s="13">
        <v>1</v>
      </c>
      <c r="H130" t="s">
        <v>1348</v>
      </c>
    </row>
    <row r="131" spans="1:8" x14ac:dyDescent="0.25">
      <c r="B131" s="21"/>
      <c r="D131" t="s">
        <v>138</v>
      </c>
      <c r="E131" s="21" t="s">
        <v>254</v>
      </c>
      <c r="F131" s="13">
        <v>0.57999999999999996</v>
      </c>
    </row>
    <row r="132" spans="1:8" x14ac:dyDescent="0.25">
      <c r="B132" s="21"/>
      <c r="D132" t="s">
        <v>139</v>
      </c>
      <c r="E132" s="21" t="s">
        <v>254</v>
      </c>
      <c r="F132" s="13">
        <v>0.56000000000000005</v>
      </c>
    </row>
    <row r="133" spans="1:8" x14ac:dyDescent="0.25">
      <c r="B133" s="21"/>
      <c r="D133" t="s">
        <v>140</v>
      </c>
      <c r="E133" s="21" t="s">
        <v>254</v>
      </c>
      <c r="F133" s="13">
        <v>0.43</v>
      </c>
    </row>
    <row r="134" spans="1:8" x14ac:dyDescent="0.25">
      <c r="B134" s="21"/>
      <c r="D134" t="s">
        <v>141</v>
      </c>
      <c r="E134" s="21" t="s">
        <v>254</v>
      </c>
      <c r="F134" s="13">
        <v>0.46</v>
      </c>
    </row>
    <row r="135" spans="1:8" x14ac:dyDescent="0.25">
      <c r="B135" s="21"/>
      <c r="D135" t="s">
        <v>568</v>
      </c>
      <c r="E135" s="21" t="s">
        <v>254</v>
      </c>
      <c r="F135" s="13">
        <v>0.43</v>
      </c>
    </row>
    <row r="136" spans="1:8" x14ac:dyDescent="0.25">
      <c r="B136" t="s">
        <v>561</v>
      </c>
      <c r="C136" t="s">
        <v>266</v>
      </c>
      <c r="D136" s="21" t="s">
        <v>567</v>
      </c>
      <c r="E136" s="21" t="s">
        <v>254</v>
      </c>
      <c r="F136" s="13">
        <v>0.44</v>
      </c>
    </row>
    <row r="137" spans="1:8" x14ac:dyDescent="0.25">
      <c r="B137" s="21"/>
      <c r="D137" s="21" t="s">
        <v>138</v>
      </c>
      <c r="E137" s="21" t="s">
        <v>254</v>
      </c>
      <c r="F137" s="13">
        <v>0.25</v>
      </c>
    </row>
    <row r="138" spans="1:8" x14ac:dyDescent="0.25">
      <c r="B138" s="21"/>
      <c r="D138" s="21" t="s">
        <v>139</v>
      </c>
      <c r="E138" s="21" t="s">
        <v>254</v>
      </c>
      <c r="F138" s="13">
        <v>0.12</v>
      </c>
    </row>
    <row r="139" spans="1:8" x14ac:dyDescent="0.25">
      <c r="B139" s="21"/>
      <c r="D139" s="21" t="s">
        <v>140</v>
      </c>
      <c r="E139" s="21" t="s">
        <v>254</v>
      </c>
      <c r="F139" s="13">
        <v>0.15</v>
      </c>
    </row>
    <row r="140" spans="1:8" x14ac:dyDescent="0.25">
      <c r="B140" s="21"/>
      <c r="D140" s="21" t="s">
        <v>141</v>
      </c>
      <c r="E140" s="21" t="s">
        <v>254</v>
      </c>
      <c r="F140" s="13">
        <v>0.1</v>
      </c>
    </row>
    <row r="141" spans="1:8" x14ac:dyDescent="0.25">
      <c r="B141" s="21"/>
      <c r="D141" s="21" t="s">
        <v>568</v>
      </c>
      <c r="E141" s="21" t="s">
        <v>254</v>
      </c>
      <c r="F141" s="13">
        <v>0.1</v>
      </c>
    </row>
    <row r="143" spans="1:8" x14ac:dyDescent="0.25">
      <c r="A143" s="2" t="s">
        <v>573</v>
      </c>
    </row>
    <row r="144" spans="1:8" x14ac:dyDescent="0.25">
      <c r="A144" s="21" t="s">
        <v>565</v>
      </c>
      <c r="B144" s="21" t="s">
        <v>286</v>
      </c>
      <c r="C144" s="21" t="s">
        <v>244</v>
      </c>
      <c r="D144" s="21" t="s">
        <v>246</v>
      </c>
      <c r="E144" s="21" t="s">
        <v>249</v>
      </c>
      <c r="F144" s="21" t="s">
        <v>248</v>
      </c>
      <c r="G144" t="s">
        <v>575</v>
      </c>
      <c r="H144" t="s">
        <v>576</v>
      </c>
    </row>
    <row r="145" spans="1:9" x14ac:dyDescent="0.25">
      <c r="A145" t="s">
        <v>580</v>
      </c>
      <c r="B145" t="s">
        <v>285</v>
      </c>
      <c r="C145" t="s">
        <v>579</v>
      </c>
      <c r="D145" t="s">
        <v>155</v>
      </c>
      <c r="E145" t="s">
        <v>254</v>
      </c>
      <c r="F145" s="12">
        <v>0.48199999999999998</v>
      </c>
      <c r="G145">
        <v>14.7</v>
      </c>
      <c r="H145">
        <v>81.599999999999994</v>
      </c>
      <c r="I145" t="s">
        <v>574</v>
      </c>
    </row>
    <row r="146" spans="1:9" x14ac:dyDescent="0.25">
      <c r="D146" t="s">
        <v>550</v>
      </c>
      <c r="E146" s="21" t="s">
        <v>254</v>
      </c>
      <c r="F146" s="12">
        <v>0.505</v>
      </c>
      <c r="G146">
        <v>37.1</v>
      </c>
      <c r="H146">
        <v>63.8</v>
      </c>
    </row>
    <row r="147" spans="1:9" x14ac:dyDescent="0.25">
      <c r="D147" t="s">
        <v>577</v>
      </c>
      <c r="E147" s="21" t="s">
        <v>254</v>
      </c>
      <c r="F147" s="12">
        <v>0.36099999999999999</v>
      </c>
      <c r="G147">
        <v>26.9</v>
      </c>
      <c r="H147">
        <v>45.2</v>
      </c>
    </row>
    <row r="148" spans="1:9" x14ac:dyDescent="0.25">
      <c r="D148" t="s">
        <v>578</v>
      </c>
      <c r="E148" s="21" t="s">
        <v>254</v>
      </c>
      <c r="F148" s="12">
        <v>0.316</v>
      </c>
      <c r="G148">
        <v>14.9</v>
      </c>
      <c r="H148">
        <v>48.3</v>
      </c>
    </row>
    <row r="150" spans="1:9" x14ac:dyDescent="0.25">
      <c r="A150" s="2" t="s">
        <v>655</v>
      </c>
      <c r="G150" s="37"/>
      <c r="H150" s="37"/>
    </row>
    <row r="151" spans="1:9" x14ac:dyDescent="0.25">
      <c r="A151" s="37" t="s">
        <v>565</v>
      </c>
      <c r="B151" s="37" t="s">
        <v>286</v>
      </c>
      <c r="C151" s="37" t="s">
        <v>244</v>
      </c>
      <c r="D151" s="37" t="s">
        <v>246</v>
      </c>
      <c r="E151" s="37" t="s">
        <v>249</v>
      </c>
      <c r="F151" s="37" t="s">
        <v>248</v>
      </c>
      <c r="G151" s="37"/>
      <c r="H151" s="37"/>
    </row>
    <row r="152" spans="1:9" x14ac:dyDescent="0.25">
      <c r="A152">
        <v>2003</v>
      </c>
      <c r="B152" t="s">
        <v>658</v>
      </c>
      <c r="C152" t="s">
        <v>266</v>
      </c>
      <c r="D152" t="s">
        <v>657</v>
      </c>
      <c r="E152" t="s">
        <v>255</v>
      </c>
      <c r="F152" s="37">
        <v>54</v>
      </c>
      <c r="H152" s="37" t="s">
        <v>660</v>
      </c>
    </row>
    <row r="153" spans="1:9" x14ac:dyDescent="0.25">
      <c r="B153" t="s">
        <v>656</v>
      </c>
      <c r="E153" t="s">
        <v>255</v>
      </c>
      <c r="F153" s="40">
        <v>79.400000000000006</v>
      </c>
      <c r="H153" s="37"/>
    </row>
    <row r="154" spans="1:9" x14ac:dyDescent="0.25">
      <c r="B154" t="s">
        <v>659</v>
      </c>
      <c r="E154" t="s">
        <v>255</v>
      </c>
      <c r="F154" s="37">
        <v>46.9</v>
      </c>
      <c r="H154" s="37"/>
    </row>
    <row r="155" spans="1:9" x14ac:dyDescent="0.25">
      <c r="F155" s="37"/>
      <c r="G155" s="37"/>
      <c r="H155" s="37"/>
    </row>
    <row r="156" spans="1:9" x14ac:dyDescent="0.25">
      <c r="A156" s="2" t="s">
        <v>1021</v>
      </c>
      <c r="F156" s="37"/>
      <c r="G156" s="37"/>
      <c r="H156" s="37"/>
    </row>
    <row r="157" spans="1:9" x14ac:dyDescent="0.25">
      <c r="A157" s="37" t="s">
        <v>565</v>
      </c>
      <c r="B157" s="37" t="s">
        <v>286</v>
      </c>
      <c r="C157" s="37" t="s">
        <v>244</v>
      </c>
      <c r="D157" s="37" t="s">
        <v>246</v>
      </c>
      <c r="E157" s="37" t="s">
        <v>249</v>
      </c>
      <c r="F157" s="37" t="s">
        <v>248</v>
      </c>
      <c r="G157" t="s">
        <v>1019</v>
      </c>
      <c r="H157" s="37" t="s">
        <v>1020</v>
      </c>
    </row>
    <row r="158" spans="1:9" x14ac:dyDescent="0.25">
      <c r="A158" t="s">
        <v>663</v>
      </c>
      <c r="B158" t="s">
        <v>656</v>
      </c>
      <c r="C158" t="s">
        <v>245</v>
      </c>
      <c r="D158" t="s">
        <v>661</v>
      </c>
      <c r="E158" t="s">
        <v>255</v>
      </c>
      <c r="F158">
        <v>74.5</v>
      </c>
      <c r="G158">
        <v>38</v>
      </c>
      <c r="H158">
        <v>51</v>
      </c>
    </row>
    <row r="159" spans="1:9" x14ac:dyDescent="0.25">
      <c r="D159" t="s">
        <v>139</v>
      </c>
      <c r="E159" t="s">
        <v>255</v>
      </c>
      <c r="F159">
        <v>79.400000000000006</v>
      </c>
      <c r="G159">
        <v>54</v>
      </c>
      <c r="H159">
        <v>68</v>
      </c>
    </row>
    <row r="160" spans="1:9" x14ac:dyDescent="0.25">
      <c r="D160" t="s">
        <v>156</v>
      </c>
      <c r="E160" t="s">
        <v>255</v>
      </c>
      <c r="F160">
        <v>70.8</v>
      </c>
      <c r="G160">
        <v>68</v>
      </c>
      <c r="H160">
        <v>96</v>
      </c>
    </row>
    <row r="161" spans="1:8" x14ac:dyDescent="0.25">
      <c r="D161" t="s">
        <v>662</v>
      </c>
      <c r="E161" t="s">
        <v>255</v>
      </c>
      <c r="F161">
        <v>68.400000000000006</v>
      </c>
      <c r="G161">
        <v>39</v>
      </c>
      <c r="H161">
        <v>57</v>
      </c>
    </row>
    <row r="162" spans="1:8" x14ac:dyDescent="0.25">
      <c r="B162" t="s">
        <v>659</v>
      </c>
      <c r="C162" t="s">
        <v>245</v>
      </c>
      <c r="D162" s="37" t="s">
        <v>661</v>
      </c>
      <c r="E162" s="37" t="s">
        <v>255</v>
      </c>
      <c r="F162">
        <v>52.1</v>
      </c>
      <c r="G162">
        <v>88</v>
      </c>
      <c r="H162">
        <v>169</v>
      </c>
    </row>
    <row r="163" spans="1:8" x14ac:dyDescent="0.25">
      <c r="D163" s="37" t="s">
        <v>139</v>
      </c>
      <c r="E163" s="37" t="s">
        <v>255</v>
      </c>
      <c r="F163">
        <v>47.1</v>
      </c>
      <c r="G163">
        <v>64</v>
      </c>
      <c r="H163">
        <v>136</v>
      </c>
    </row>
    <row r="164" spans="1:8" x14ac:dyDescent="0.25">
      <c r="D164" s="37" t="s">
        <v>156</v>
      </c>
      <c r="E164" s="37" t="s">
        <v>255</v>
      </c>
      <c r="F164">
        <v>39.6</v>
      </c>
      <c r="G164">
        <v>55</v>
      </c>
      <c r="H164">
        <v>139</v>
      </c>
    </row>
    <row r="165" spans="1:8" x14ac:dyDescent="0.25">
      <c r="D165" s="37" t="s">
        <v>662</v>
      </c>
      <c r="E165" s="37" t="s">
        <v>255</v>
      </c>
      <c r="F165">
        <v>38.6</v>
      </c>
      <c r="G165">
        <v>22</v>
      </c>
      <c r="H165">
        <v>57</v>
      </c>
    </row>
    <row r="167" spans="1:8" x14ac:dyDescent="0.25">
      <c r="A167" t="s">
        <v>1022</v>
      </c>
    </row>
    <row r="168" spans="1:8" x14ac:dyDescent="0.25">
      <c r="A168" t="s">
        <v>1023</v>
      </c>
    </row>
    <row r="169" spans="1:8" x14ac:dyDescent="0.25">
      <c r="A169" s="37" t="s">
        <v>565</v>
      </c>
      <c r="B169" s="37" t="s">
        <v>286</v>
      </c>
      <c r="C169" s="37" t="s">
        <v>244</v>
      </c>
      <c r="D169" s="37" t="s">
        <v>246</v>
      </c>
      <c r="E169" s="37" t="s">
        <v>249</v>
      </c>
      <c r="F169" s="37" t="s">
        <v>248</v>
      </c>
      <c r="G169" t="s">
        <v>1026</v>
      </c>
      <c r="H169" t="s">
        <v>1027</v>
      </c>
    </row>
    <row r="170" spans="1:8" x14ac:dyDescent="0.25">
      <c r="A170">
        <v>2015</v>
      </c>
      <c r="B170" t="s">
        <v>559</v>
      </c>
      <c r="C170" t="s">
        <v>1024</v>
      </c>
      <c r="D170" t="s">
        <v>1025</v>
      </c>
      <c r="E170" s="37" t="s">
        <v>254</v>
      </c>
      <c r="F170" s="40">
        <v>59.1</v>
      </c>
      <c r="G170" s="40">
        <v>68</v>
      </c>
      <c r="H170">
        <v>115</v>
      </c>
    </row>
    <row r="171" spans="1:8" x14ac:dyDescent="0.25">
      <c r="E171" s="37" t="s">
        <v>1030</v>
      </c>
      <c r="F171" s="40">
        <v>47</v>
      </c>
      <c r="G171" s="40">
        <v>54</v>
      </c>
      <c r="H171">
        <v>115</v>
      </c>
    </row>
    <row r="172" spans="1:8" x14ac:dyDescent="0.25">
      <c r="E172" s="37" t="s">
        <v>1031</v>
      </c>
      <c r="F172" s="40">
        <v>39.1</v>
      </c>
      <c r="G172" s="40">
        <v>45</v>
      </c>
      <c r="H172" s="37">
        <v>115</v>
      </c>
    </row>
    <row r="173" spans="1:8" x14ac:dyDescent="0.25">
      <c r="E173" s="37" t="s">
        <v>1032</v>
      </c>
      <c r="F173" s="40">
        <v>23.5</v>
      </c>
      <c r="G173" s="40">
        <v>27</v>
      </c>
      <c r="H173" s="37">
        <v>115</v>
      </c>
    </row>
    <row r="174" spans="1:8" x14ac:dyDescent="0.25">
      <c r="E174" s="37" t="s">
        <v>256</v>
      </c>
      <c r="F174" s="40">
        <v>10.4</v>
      </c>
      <c r="G174" s="40">
        <v>12</v>
      </c>
      <c r="H174" s="37">
        <v>115</v>
      </c>
    </row>
    <row r="175" spans="1:8" x14ac:dyDescent="0.25">
      <c r="E175" s="37" t="s">
        <v>1033</v>
      </c>
      <c r="F175" s="40">
        <v>17.399999999999999</v>
      </c>
      <c r="G175" s="40">
        <v>20</v>
      </c>
      <c r="H175" s="37">
        <v>115</v>
      </c>
    </row>
    <row r="176" spans="1:8" x14ac:dyDescent="0.25">
      <c r="E176" s="37" t="s">
        <v>1034</v>
      </c>
      <c r="F176" s="40">
        <v>20</v>
      </c>
      <c r="G176" s="40">
        <v>23</v>
      </c>
      <c r="H176" s="37">
        <v>115</v>
      </c>
    </row>
    <row r="177" spans="2:8" x14ac:dyDescent="0.25">
      <c r="E177" s="37" t="s">
        <v>257</v>
      </c>
      <c r="F177" s="40">
        <v>3.5</v>
      </c>
      <c r="G177" s="40">
        <v>4</v>
      </c>
      <c r="H177" s="37">
        <v>115</v>
      </c>
    </row>
    <row r="178" spans="2:8" x14ac:dyDescent="0.25">
      <c r="E178" s="37" t="s">
        <v>1035</v>
      </c>
      <c r="F178" s="40">
        <v>17.399999999999999</v>
      </c>
      <c r="G178" s="40">
        <v>20</v>
      </c>
      <c r="H178" s="37">
        <v>115</v>
      </c>
    </row>
    <row r="179" spans="2:8" x14ac:dyDescent="0.25">
      <c r="E179" s="37" t="s">
        <v>1036</v>
      </c>
      <c r="F179" s="40">
        <v>32.200000000000003</v>
      </c>
      <c r="G179" s="40">
        <v>37</v>
      </c>
      <c r="H179" s="37">
        <v>115</v>
      </c>
    </row>
    <row r="180" spans="2:8" x14ac:dyDescent="0.25">
      <c r="E180" s="37" t="s">
        <v>1028</v>
      </c>
      <c r="F180" s="40">
        <v>33</v>
      </c>
      <c r="G180" s="40">
        <v>38</v>
      </c>
      <c r="H180" s="37">
        <v>115</v>
      </c>
    </row>
    <row r="181" spans="2:8" x14ac:dyDescent="0.25">
      <c r="E181" s="37" t="s">
        <v>1029</v>
      </c>
      <c r="F181" s="40">
        <v>20</v>
      </c>
      <c r="G181" s="40">
        <v>23</v>
      </c>
      <c r="H181" s="37">
        <v>115</v>
      </c>
    </row>
    <row r="182" spans="2:8" x14ac:dyDescent="0.25">
      <c r="B182" t="s">
        <v>561</v>
      </c>
      <c r="C182" t="s">
        <v>1024</v>
      </c>
      <c r="D182" t="s">
        <v>1037</v>
      </c>
      <c r="E182" s="37" t="s">
        <v>254</v>
      </c>
      <c r="F182" s="40">
        <v>35.200000000000003</v>
      </c>
      <c r="G182" s="40">
        <v>37</v>
      </c>
      <c r="H182">
        <v>105</v>
      </c>
    </row>
    <row r="183" spans="2:8" x14ac:dyDescent="0.25">
      <c r="E183" s="37" t="s">
        <v>1030</v>
      </c>
      <c r="F183" s="40">
        <v>27.6</v>
      </c>
      <c r="G183" s="40">
        <v>29</v>
      </c>
      <c r="H183">
        <v>105</v>
      </c>
    </row>
    <row r="184" spans="2:8" x14ac:dyDescent="0.25">
      <c r="E184" s="37" t="s">
        <v>1031</v>
      </c>
      <c r="F184" s="40">
        <v>23.8</v>
      </c>
      <c r="G184" s="40">
        <v>25</v>
      </c>
      <c r="H184" s="37">
        <v>105</v>
      </c>
    </row>
    <row r="185" spans="2:8" x14ac:dyDescent="0.25">
      <c r="E185" s="37" t="s">
        <v>1032</v>
      </c>
      <c r="F185" s="40">
        <v>15.2</v>
      </c>
      <c r="G185" s="40">
        <v>16</v>
      </c>
      <c r="H185" s="37">
        <v>105</v>
      </c>
    </row>
    <row r="186" spans="2:8" x14ac:dyDescent="0.25">
      <c r="E186" s="37" t="s">
        <v>256</v>
      </c>
      <c r="F186" s="40">
        <v>2.9</v>
      </c>
      <c r="G186" s="40">
        <v>3</v>
      </c>
      <c r="H186" s="37">
        <v>105</v>
      </c>
    </row>
    <row r="187" spans="2:8" x14ac:dyDescent="0.25">
      <c r="E187" s="37" t="s">
        <v>1033</v>
      </c>
      <c r="F187" s="40">
        <v>12.4</v>
      </c>
      <c r="G187" s="40">
        <v>13</v>
      </c>
      <c r="H187" s="37">
        <v>105</v>
      </c>
    </row>
    <row r="188" spans="2:8" x14ac:dyDescent="0.25">
      <c r="E188" s="37" t="s">
        <v>1034</v>
      </c>
      <c r="F188" s="40">
        <v>8.6</v>
      </c>
      <c r="G188" s="40">
        <v>9</v>
      </c>
      <c r="H188" s="37">
        <v>105</v>
      </c>
    </row>
    <row r="189" spans="2:8" x14ac:dyDescent="0.25">
      <c r="E189" s="37" t="s">
        <v>257</v>
      </c>
      <c r="F189" s="40">
        <v>1</v>
      </c>
      <c r="G189" s="40">
        <v>1</v>
      </c>
      <c r="H189" s="37">
        <v>105</v>
      </c>
    </row>
    <row r="190" spans="2:8" x14ac:dyDescent="0.25">
      <c r="E190" s="37" t="s">
        <v>1035</v>
      </c>
      <c r="F190" s="40">
        <v>7.6</v>
      </c>
      <c r="G190" s="40">
        <v>8</v>
      </c>
      <c r="H190" s="37">
        <v>105</v>
      </c>
    </row>
    <row r="191" spans="2:8" x14ac:dyDescent="0.25">
      <c r="E191" s="37" t="s">
        <v>1036</v>
      </c>
      <c r="F191" s="40">
        <v>17.100000000000001</v>
      </c>
      <c r="G191" s="40">
        <v>18</v>
      </c>
      <c r="H191" s="37">
        <v>105</v>
      </c>
    </row>
    <row r="192" spans="2:8" x14ac:dyDescent="0.25">
      <c r="E192" s="37" t="s">
        <v>1028</v>
      </c>
      <c r="F192" s="40">
        <v>10.5</v>
      </c>
      <c r="G192" s="40">
        <v>11</v>
      </c>
      <c r="H192" s="37">
        <v>105</v>
      </c>
    </row>
    <row r="193" spans="1:8" x14ac:dyDescent="0.25">
      <c r="E193" s="37" t="s">
        <v>1029</v>
      </c>
      <c r="F193" s="40">
        <v>6.7</v>
      </c>
      <c r="G193" s="40">
        <v>7</v>
      </c>
      <c r="H193" s="37">
        <v>105</v>
      </c>
    </row>
    <row r="197" spans="1:8" x14ac:dyDescent="0.25">
      <c r="A197" s="2" t="s">
        <v>1142</v>
      </c>
    </row>
    <row r="198" spans="1:8" s="37" customFormat="1" x14ac:dyDescent="0.25">
      <c r="A198" s="2"/>
      <c r="B198" s="37" t="s">
        <v>1178</v>
      </c>
    </row>
    <row r="199" spans="1:8" x14ac:dyDescent="0.25">
      <c r="C199" t="s">
        <v>595</v>
      </c>
      <c r="D199" t="s">
        <v>575</v>
      </c>
      <c r="E199" t="s">
        <v>576</v>
      </c>
    </row>
    <row r="200" spans="1:8" x14ac:dyDescent="0.25">
      <c r="B200" t="s">
        <v>297</v>
      </c>
      <c r="C200" s="12">
        <v>0.35299999999999998</v>
      </c>
      <c r="D200">
        <v>33.5</v>
      </c>
      <c r="E200">
        <v>37.1</v>
      </c>
    </row>
    <row r="208" spans="1:8" x14ac:dyDescent="0.25">
      <c r="A208" s="2" t="s">
        <v>1148</v>
      </c>
    </row>
    <row r="209" spans="1:17" x14ac:dyDescent="0.25">
      <c r="B209" t="s">
        <v>1177</v>
      </c>
    </row>
    <row r="210" spans="1:17" x14ac:dyDescent="0.25">
      <c r="C210" t="s">
        <v>74</v>
      </c>
      <c r="D210" t="s">
        <v>1149</v>
      </c>
      <c r="E210" t="s">
        <v>1176</v>
      </c>
    </row>
    <row r="211" spans="1:17" x14ac:dyDescent="0.25">
      <c r="B211" t="s">
        <v>1143</v>
      </c>
      <c r="C211">
        <v>36</v>
      </c>
      <c r="D211">
        <v>61.1</v>
      </c>
    </row>
    <row r="212" spans="1:17" x14ac:dyDescent="0.25">
      <c r="B212" t="s">
        <v>1144</v>
      </c>
      <c r="C212">
        <v>67</v>
      </c>
      <c r="D212">
        <v>64.2</v>
      </c>
    </row>
    <row r="213" spans="1:17" x14ac:dyDescent="0.25">
      <c r="B213" t="s">
        <v>1145</v>
      </c>
      <c r="C213">
        <v>51</v>
      </c>
      <c r="D213">
        <v>62.8</v>
      </c>
    </row>
    <row r="214" spans="1:17" x14ac:dyDescent="0.25">
      <c r="B214" t="s">
        <v>1146</v>
      </c>
      <c r="C214">
        <v>43</v>
      </c>
      <c r="D214">
        <v>44.2</v>
      </c>
    </row>
    <row r="215" spans="1:17" x14ac:dyDescent="0.25">
      <c r="B215" t="s">
        <v>1147</v>
      </c>
      <c r="C215">
        <v>52</v>
      </c>
      <c r="D215">
        <v>53.9</v>
      </c>
    </row>
    <row r="216" spans="1:17" x14ac:dyDescent="0.25">
      <c r="B216" t="s">
        <v>645</v>
      </c>
      <c r="C216">
        <f>SUM(C211:C215)</f>
        <v>249</v>
      </c>
      <c r="D216" s="12">
        <v>0.57599999999999996</v>
      </c>
      <c r="E216" s="12">
        <v>0.42399999999999999</v>
      </c>
    </row>
    <row r="217" spans="1:17" x14ac:dyDescent="0.25">
      <c r="B217" t="s">
        <v>559</v>
      </c>
      <c r="C217">
        <v>64</v>
      </c>
      <c r="D217">
        <v>73.400000000000006</v>
      </c>
    </row>
    <row r="218" spans="1:17" x14ac:dyDescent="0.25">
      <c r="B218" t="s">
        <v>561</v>
      </c>
      <c r="C218">
        <v>186</v>
      </c>
      <c r="D218">
        <v>52.2</v>
      </c>
    </row>
    <row r="220" spans="1:17" x14ac:dyDescent="0.25">
      <c r="A220" s="2" t="s">
        <v>1211</v>
      </c>
    </row>
    <row r="221" spans="1:17" x14ac:dyDescent="0.25">
      <c r="B221" t="s">
        <v>1189</v>
      </c>
    </row>
    <row r="222" spans="1:17" x14ac:dyDescent="0.25">
      <c r="B222" t="s">
        <v>1181</v>
      </c>
      <c r="C222" s="66" t="s">
        <v>1185</v>
      </c>
      <c r="D222" s="66" t="s">
        <v>1179</v>
      </c>
      <c r="E222" s="66" t="s">
        <v>1182</v>
      </c>
      <c r="F222" s="66" t="s">
        <v>576</v>
      </c>
      <c r="G222" s="67" t="s">
        <v>1185</v>
      </c>
      <c r="H222" s="67" t="s">
        <v>1180</v>
      </c>
      <c r="I222" s="67" t="s">
        <v>575</v>
      </c>
      <c r="J222" s="67" t="s">
        <v>576</v>
      </c>
      <c r="K222" s="68" t="s">
        <v>645</v>
      </c>
      <c r="L222" s="68" t="s">
        <v>575</v>
      </c>
      <c r="M222" s="68" t="s">
        <v>576</v>
      </c>
      <c r="N222" s="69" t="s">
        <v>1209</v>
      </c>
      <c r="O222" s="69" t="s">
        <v>1183</v>
      </c>
      <c r="P222" s="69" t="s">
        <v>1201</v>
      </c>
    </row>
    <row r="223" spans="1:17" x14ac:dyDescent="0.25">
      <c r="A223" t="s">
        <v>1212</v>
      </c>
      <c r="B223" t="s">
        <v>1184</v>
      </c>
      <c r="C223" s="66" t="s">
        <v>1186</v>
      </c>
      <c r="D223" s="66">
        <v>22.2</v>
      </c>
      <c r="E223" s="66">
        <v>16.100000000000001</v>
      </c>
      <c r="F223" s="66">
        <v>29.8</v>
      </c>
      <c r="G223" s="67" t="s">
        <v>1187</v>
      </c>
      <c r="H223" s="67">
        <v>76.900000000000006</v>
      </c>
      <c r="I223" s="67">
        <v>46</v>
      </c>
      <c r="J223" s="67">
        <v>93.8</v>
      </c>
      <c r="K223" s="68">
        <v>26.5</v>
      </c>
      <c r="L223" s="68">
        <v>19.7</v>
      </c>
      <c r="M223" s="68">
        <v>33.299999999999997</v>
      </c>
      <c r="N223" s="69">
        <v>7.8</v>
      </c>
      <c r="O223" s="69" t="s">
        <v>1207</v>
      </c>
      <c r="P223" s="69" t="s">
        <v>1208</v>
      </c>
    </row>
    <row r="224" spans="1:17" x14ac:dyDescent="0.25">
      <c r="A224" t="s">
        <v>1213</v>
      </c>
      <c r="B224" t="s">
        <v>1188</v>
      </c>
      <c r="C224" s="66" t="s">
        <v>1190</v>
      </c>
      <c r="D224" s="66">
        <v>15.8</v>
      </c>
      <c r="E224" s="66">
        <v>13.8</v>
      </c>
      <c r="F224" s="66">
        <v>17.7</v>
      </c>
      <c r="G224" s="67" t="s">
        <v>1191</v>
      </c>
      <c r="H224" s="67">
        <v>25.7</v>
      </c>
      <c r="I224" s="67">
        <v>18.5</v>
      </c>
      <c r="J224" s="67">
        <v>33</v>
      </c>
      <c r="K224" s="68">
        <v>16.2</v>
      </c>
      <c r="L224" s="68">
        <v>14.5</v>
      </c>
      <c r="M224" s="68">
        <v>17.899999999999999</v>
      </c>
      <c r="N224" s="70">
        <f>140/(1813)*100</f>
        <v>7.7220077220077217</v>
      </c>
      <c r="O224" s="69" t="s">
        <v>1202</v>
      </c>
      <c r="P224" s="69">
        <v>2009</v>
      </c>
      <c r="Q224" t="s">
        <v>1215</v>
      </c>
    </row>
    <row r="225" spans="1:18" x14ac:dyDescent="0.25">
      <c r="A225" t="s">
        <v>1214</v>
      </c>
      <c r="B225" t="s">
        <v>1192</v>
      </c>
      <c r="C225" s="66" t="s">
        <v>1193</v>
      </c>
      <c r="D225" s="66">
        <v>38.700000000000003</v>
      </c>
      <c r="E225" s="66">
        <v>35.6</v>
      </c>
      <c r="F225" s="66">
        <v>41.8</v>
      </c>
      <c r="G225" s="67" t="s">
        <v>1194</v>
      </c>
      <c r="H225" s="67">
        <v>74.099999999999994</v>
      </c>
      <c r="I225" s="67">
        <v>69.599999999999994</v>
      </c>
      <c r="J225" s="67">
        <v>78.2</v>
      </c>
      <c r="K225" s="68">
        <v>49.3</v>
      </c>
      <c r="L225" s="68" t="s">
        <v>530</v>
      </c>
      <c r="M225" s="68" t="s">
        <v>530</v>
      </c>
      <c r="N225" s="69">
        <v>30</v>
      </c>
      <c r="O225" s="69" t="s">
        <v>1210</v>
      </c>
      <c r="P225" s="69">
        <v>2006</v>
      </c>
    </row>
    <row r="227" spans="1:18" x14ac:dyDescent="0.25">
      <c r="B227" t="s">
        <v>1195</v>
      </c>
      <c r="M227" t="s">
        <v>1206</v>
      </c>
    </row>
    <row r="228" spans="1:18" x14ac:dyDescent="0.25">
      <c r="B228" t="s">
        <v>1196</v>
      </c>
      <c r="M228" t="s">
        <v>559</v>
      </c>
      <c r="P228" t="s">
        <v>561</v>
      </c>
    </row>
    <row r="229" spans="1:18" x14ac:dyDescent="0.25">
      <c r="B229" t="s">
        <v>246</v>
      </c>
      <c r="C229" t="s">
        <v>74</v>
      </c>
      <c r="D229" t="s">
        <v>106</v>
      </c>
      <c r="E229" t="s">
        <v>1203</v>
      </c>
      <c r="F229" t="s">
        <v>575</v>
      </c>
      <c r="G229" t="s">
        <v>576</v>
      </c>
      <c r="I229" s="37" t="s">
        <v>74</v>
      </c>
      <c r="J229" s="37" t="s">
        <v>106</v>
      </c>
      <c r="K229" s="37" t="s">
        <v>1204</v>
      </c>
      <c r="M229" t="s">
        <v>1205</v>
      </c>
      <c r="N229" t="s">
        <v>575</v>
      </c>
      <c r="O229" t="s">
        <v>576</v>
      </c>
      <c r="P229" s="37" t="s">
        <v>1205</v>
      </c>
      <c r="Q229" s="37" t="s">
        <v>575</v>
      </c>
      <c r="R229" s="37" t="s">
        <v>576</v>
      </c>
    </row>
    <row r="230" spans="1:18" x14ac:dyDescent="0.25">
      <c r="B230" t="s">
        <v>1197</v>
      </c>
      <c r="C230">
        <v>9</v>
      </c>
      <c r="D230">
        <v>74</v>
      </c>
      <c r="E230">
        <v>12.2</v>
      </c>
      <c r="F230" s="40">
        <v>4.7</v>
      </c>
      <c r="G230" s="40">
        <v>19.600000000000001</v>
      </c>
      <c r="I230" s="37">
        <v>9</v>
      </c>
      <c r="J230" s="37">
        <v>74</v>
      </c>
      <c r="K230" s="37">
        <v>12.2</v>
      </c>
      <c r="M230">
        <v>0</v>
      </c>
      <c r="N230">
        <v>0</v>
      </c>
      <c r="O230">
        <v>0</v>
      </c>
      <c r="P230">
        <v>17.600000000000001</v>
      </c>
      <c r="Q230">
        <v>6.8</v>
      </c>
      <c r="R230">
        <v>27.9</v>
      </c>
    </row>
    <row r="231" spans="1:18" x14ac:dyDescent="0.25">
      <c r="B231" t="s">
        <v>138</v>
      </c>
      <c r="C231">
        <v>44</v>
      </c>
      <c r="D231">
        <v>254</v>
      </c>
      <c r="E231">
        <v>17.3</v>
      </c>
      <c r="F231" s="40">
        <v>12.7</v>
      </c>
      <c r="G231" s="40">
        <v>22</v>
      </c>
      <c r="I231" s="37">
        <v>22</v>
      </c>
      <c r="J231" s="37">
        <v>254</v>
      </c>
      <c r="K231" s="37">
        <v>8.6999999999999993</v>
      </c>
      <c r="M231">
        <v>0</v>
      </c>
      <c r="N231">
        <v>0</v>
      </c>
      <c r="O231">
        <v>0</v>
      </c>
      <c r="P231">
        <v>18.600000000000001</v>
      </c>
      <c r="Q231">
        <v>12.9</v>
      </c>
      <c r="R231">
        <v>24</v>
      </c>
    </row>
    <row r="232" spans="1:18" x14ac:dyDescent="0.25">
      <c r="B232" t="s">
        <v>139</v>
      </c>
      <c r="C232">
        <v>86</v>
      </c>
      <c r="D232">
        <v>483</v>
      </c>
      <c r="E232">
        <v>17.8</v>
      </c>
      <c r="F232" s="40">
        <v>14.4</v>
      </c>
      <c r="G232" s="40">
        <v>21.2</v>
      </c>
      <c r="I232" s="37">
        <v>71</v>
      </c>
      <c r="J232" s="37">
        <v>483</v>
      </c>
      <c r="K232" s="37">
        <v>15.3</v>
      </c>
      <c r="M232">
        <v>22</v>
      </c>
      <c r="N232">
        <v>38.5</v>
      </c>
      <c r="O232">
        <v>5.3</v>
      </c>
      <c r="P232">
        <v>17.3</v>
      </c>
      <c r="Q232">
        <v>13.4</v>
      </c>
      <c r="R232">
        <v>21.8</v>
      </c>
    </row>
    <row r="233" spans="1:18" x14ac:dyDescent="0.25">
      <c r="B233" t="s">
        <v>140</v>
      </c>
      <c r="C233">
        <v>79</v>
      </c>
      <c r="D233">
        <v>336</v>
      </c>
      <c r="E233">
        <v>23.5</v>
      </c>
      <c r="F233" s="40">
        <v>19</v>
      </c>
      <c r="G233" s="40">
        <v>28.1</v>
      </c>
      <c r="I233" s="37">
        <v>62</v>
      </c>
      <c r="J233" s="37">
        <v>336</v>
      </c>
      <c r="K233" s="37">
        <v>18.5</v>
      </c>
      <c r="M233">
        <v>28.6</v>
      </c>
      <c r="N233">
        <v>44.9</v>
      </c>
      <c r="O233">
        <v>13.4</v>
      </c>
      <c r="P233">
        <v>26.7</v>
      </c>
      <c r="Q233">
        <v>20.7</v>
      </c>
      <c r="R233">
        <v>32.200000000000003</v>
      </c>
    </row>
    <row r="234" spans="1:18" x14ac:dyDescent="0.25">
      <c r="B234" t="s">
        <v>141</v>
      </c>
      <c r="C234">
        <v>43</v>
      </c>
      <c r="D234">
        <v>205</v>
      </c>
      <c r="E234">
        <v>21</v>
      </c>
      <c r="F234" s="40">
        <v>15.4</v>
      </c>
      <c r="G234" s="40">
        <v>26.6</v>
      </c>
      <c r="I234" s="37">
        <v>36</v>
      </c>
      <c r="J234" s="37">
        <v>205</v>
      </c>
      <c r="K234" s="37">
        <v>17.600000000000001</v>
      </c>
      <c r="M234">
        <v>29.3</v>
      </c>
      <c r="N234">
        <v>47.3</v>
      </c>
      <c r="O234">
        <v>11</v>
      </c>
      <c r="P234">
        <v>17.899999999999999</v>
      </c>
      <c r="Q234">
        <v>11.8</v>
      </c>
      <c r="R234">
        <v>24.6</v>
      </c>
    </row>
    <row r="235" spans="1:18" x14ac:dyDescent="0.25">
      <c r="B235" t="s">
        <v>157</v>
      </c>
      <c r="C235">
        <v>57</v>
      </c>
      <c r="D235">
        <v>245</v>
      </c>
      <c r="E235">
        <v>23.3</v>
      </c>
      <c r="F235" s="40">
        <v>18</v>
      </c>
      <c r="G235" s="40">
        <v>28.6</v>
      </c>
      <c r="I235" s="37">
        <v>47</v>
      </c>
      <c r="J235" s="37">
        <v>245</v>
      </c>
      <c r="K235" s="37">
        <v>19.2</v>
      </c>
      <c r="M235">
        <v>46.8</v>
      </c>
      <c r="N235">
        <v>63.4</v>
      </c>
      <c r="O235">
        <v>30.3</v>
      </c>
      <c r="P235">
        <v>20.399999999999999</v>
      </c>
      <c r="Q235">
        <v>14.6</v>
      </c>
      <c r="R235">
        <v>26.8</v>
      </c>
    </row>
    <row r="236" spans="1:18" x14ac:dyDescent="0.25">
      <c r="B236" t="s">
        <v>1198</v>
      </c>
      <c r="C236">
        <v>54</v>
      </c>
      <c r="D236">
        <v>216</v>
      </c>
      <c r="E236">
        <v>25</v>
      </c>
      <c r="F236" s="40">
        <v>19.2</v>
      </c>
      <c r="G236" s="40">
        <v>30.8</v>
      </c>
      <c r="I236" s="37">
        <v>44</v>
      </c>
      <c r="J236" s="37">
        <v>216</v>
      </c>
      <c r="K236" s="37">
        <v>20.399999999999999</v>
      </c>
      <c r="M236">
        <v>51.9</v>
      </c>
      <c r="N236">
        <v>71.900000000000006</v>
      </c>
      <c r="O236">
        <v>31.8</v>
      </c>
      <c r="P236">
        <v>21.5</v>
      </c>
      <c r="Q236">
        <v>14.1</v>
      </c>
      <c r="R236">
        <v>28.1</v>
      </c>
    </row>
    <row r="238" spans="1:18" x14ac:dyDescent="0.25">
      <c r="B238" t="s">
        <v>1200</v>
      </c>
      <c r="I238" s="37" t="s">
        <v>559</v>
      </c>
      <c r="J238" s="37"/>
      <c r="K238" s="37"/>
      <c r="M238" t="s">
        <v>561</v>
      </c>
    </row>
    <row r="239" spans="1:18" x14ac:dyDescent="0.25">
      <c r="B239" s="37" t="s">
        <v>246</v>
      </c>
      <c r="C239" s="37" t="s">
        <v>74</v>
      </c>
      <c r="D239" s="37" t="s">
        <v>106</v>
      </c>
      <c r="E239" s="37" t="s">
        <v>248</v>
      </c>
      <c r="F239" s="37" t="s">
        <v>575</v>
      </c>
      <c r="G239" s="37" t="s">
        <v>576</v>
      </c>
      <c r="I239" s="37" t="s">
        <v>74</v>
      </c>
      <c r="J239" s="37" t="s">
        <v>106</v>
      </c>
      <c r="K239" s="37" t="s">
        <v>595</v>
      </c>
      <c r="M239" t="s">
        <v>74</v>
      </c>
      <c r="N239" t="s">
        <v>106</v>
      </c>
      <c r="O239" t="s">
        <v>595</v>
      </c>
    </row>
    <row r="240" spans="1:18" x14ac:dyDescent="0.25">
      <c r="B240" t="s">
        <v>137</v>
      </c>
      <c r="C240">
        <v>30</v>
      </c>
      <c r="D240">
        <v>96</v>
      </c>
      <c r="E240">
        <v>31.3</v>
      </c>
      <c r="F240" s="40">
        <v>22</v>
      </c>
      <c r="G240" s="40">
        <v>40.5</v>
      </c>
      <c r="I240">
        <v>3</v>
      </c>
      <c r="J240">
        <v>4</v>
      </c>
      <c r="K240">
        <v>75</v>
      </c>
      <c r="M240" s="40">
        <v>27</v>
      </c>
      <c r="N240" s="40">
        <v>92</v>
      </c>
      <c r="O240">
        <v>29.35</v>
      </c>
    </row>
    <row r="241" spans="2:15" x14ac:dyDescent="0.25">
      <c r="B241" t="s">
        <v>138</v>
      </c>
      <c r="C241">
        <v>136</v>
      </c>
      <c r="D241">
        <v>255</v>
      </c>
      <c r="E241">
        <v>53.3</v>
      </c>
      <c r="F241" s="40">
        <v>47.2</v>
      </c>
      <c r="G241" s="40">
        <v>59.5</v>
      </c>
      <c r="I241" s="40">
        <v>32</v>
      </c>
      <c r="J241" s="40">
        <v>37</v>
      </c>
      <c r="K241">
        <v>86.49</v>
      </c>
      <c r="M241" s="40">
        <v>104</v>
      </c>
      <c r="N241" s="40">
        <v>218</v>
      </c>
      <c r="O241">
        <v>47.71</v>
      </c>
    </row>
    <row r="242" spans="2:15" x14ac:dyDescent="0.25">
      <c r="B242" t="s">
        <v>139</v>
      </c>
      <c r="C242">
        <v>184</v>
      </c>
      <c r="D242">
        <v>362</v>
      </c>
      <c r="E242">
        <v>50.8</v>
      </c>
      <c r="F242" s="40">
        <v>45.7</v>
      </c>
      <c r="G242" s="40">
        <v>56</v>
      </c>
      <c r="I242" s="40">
        <v>64</v>
      </c>
      <c r="J242" s="40">
        <v>90</v>
      </c>
      <c r="K242">
        <v>71.11</v>
      </c>
      <c r="M242" s="40">
        <v>120</v>
      </c>
      <c r="N242" s="40">
        <v>272</v>
      </c>
      <c r="O242">
        <v>44.12</v>
      </c>
    </row>
    <row r="243" spans="2:15" x14ac:dyDescent="0.25">
      <c r="B243" t="s">
        <v>140</v>
      </c>
      <c r="C243">
        <v>151</v>
      </c>
      <c r="D243">
        <v>310</v>
      </c>
      <c r="E243">
        <v>48.7</v>
      </c>
      <c r="F243" s="40">
        <v>43.2</v>
      </c>
      <c r="G243" s="40">
        <v>54.3</v>
      </c>
      <c r="I243" s="40">
        <v>82</v>
      </c>
      <c r="J243" s="40">
        <v>115</v>
      </c>
      <c r="K243">
        <v>71.3</v>
      </c>
      <c r="M243" s="40">
        <v>69</v>
      </c>
      <c r="N243" s="40">
        <v>195</v>
      </c>
      <c r="O243">
        <v>35.380000000000003</v>
      </c>
    </row>
    <row r="244" spans="2:15" x14ac:dyDescent="0.25">
      <c r="B244" t="s">
        <v>1199</v>
      </c>
      <c r="C244">
        <v>189</v>
      </c>
      <c r="D244">
        <v>376</v>
      </c>
      <c r="E244">
        <v>50.3</v>
      </c>
      <c r="F244" s="40">
        <v>45.2</v>
      </c>
      <c r="G244" s="40">
        <v>55.3</v>
      </c>
      <c r="I244" s="40">
        <v>131</v>
      </c>
      <c r="J244" s="40">
        <v>175</v>
      </c>
      <c r="K244">
        <v>74.86</v>
      </c>
      <c r="M244" s="40">
        <v>58</v>
      </c>
      <c r="N244" s="40">
        <v>201</v>
      </c>
      <c r="O244">
        <v>28.86</v>
      </c>
    </row>
    <row r="247" spans="2:15" x14ac:dyDescent="0.25">
      <c r="J247" s="2"/>
      <c r="N247" s="35"/>
    </row>
  </sheetData>
  <hyperlinks>
    <hyperlink ref="L38" r:id="rId1"/>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workbookViewId="0">
      <selection activeCell="B47" sqref="B47"/>
    </sheetView>
  </sheetViews>
  <sheetFormatPr defaultRowHeight="15" x14ac:dyDescent="0.25"/>
  <sheetData>
    <row r="1" spans="1:5" x14ac:dyDescent="0.25">
      <c r="A1" s="2" t="s">
        <v>649</v>
      </c>
    </row>
    <row r="2" spans="1:5" x14ac:dyDescent="0.25">
      <c r="B2" t="s">
        <v>650</v>
      </c>
    </row>
    <row r="3" spans="1:5" x14ac:dyDescent="0.25">
      <c r="B3" t="s">
        <v>646</v>
      </c>
      <c r="C3">
        <v>4.9000000000000004</v>
      </c>
      <c r="D3" t="s">
        <v>647</v>
      </c>
    </row>
    <row r="4" spans="1:5" x14ac:dyDescent="0.25">
      <c r="B4" t="s">
        <v>561</v>
      </c>
      <c r="C4">
        <v>1.9</v>
      </c>
      <c r="D4" t="s">
        <v>648</v>
      </c>
    </row>
    <row r="6" spans="1:5" x14ac:dyDescent="0.25">
      <c r="A6" s="2" t="s">
        <v>651</v>
      </c>
    </row>
    <row r="7" spans="1:5" x14ac:dyDescent="0.25">
      <c r="B7" t="s">
        <v>652</v>
      </c>
    </row>
    <row r="8" spans="1:5" x14ac:dyDescent="0.25">
      <c r="C8" t="s">
        <v>559</v>
      </c>
      <c r="D8" t="s">
        <v>561</v>
      </c>
    </row>
    <row r="9" spans="1:5" x14ac:dyDescent="0.25">
      <c r="B9" t="s">
        <v>653</v>
      </c>
      <c r="C9" s="13">
        <v>0.37</v>
      </c>
      <c r="D9" s="13">
        <v>0.24</v>
      </c>
    </row>
    <row r="10" spans="1:5" x14ac:dyDescent="0.25">
      <c r="B10" t="s">
        <v>654</v>
      </c>
      <c r="C10">
        <v>26</v>
      </c>
      <c r="D10">
        <v>24</v>
      </c>
    </row>
    <row r="12" spans="1:5" x14ac:dyDescent="0.25">
      <c r="A12" s="2" t="s">
        <v>673</v>
      </c>
    </row>
    <row r="13" spans="1:5" x14ac:dyDescent="0.25">
      <c r="B13" t="s">
        <v>668</v>
      </c>
    </row>
    <row r="14" spans="1:5" x14ac:dyDescent="0.25">
      <c r="B14" t="s">
        <v>246</v>
      </c>
      <c r="C14" t="s">
        <v>595</v>
      </c>
      <c r="D14" t="s">
        <v>106</v>
      </c>
    </row>
    <row r="15" spans="1:5" x14ac:dyDescent="0.25">
      <c r="B15" t="s">
        <v>664</v>
      </c>
      <c r="C15">
        <f>137/D15</f>
        <v>0.1049808429118774</v>
      </c>
      <c r="D15">
        <f>137+1168</f>
        <v>1305</v>
      </c>
      <c r="E15">
        <f>C15*D15</f>
        <v>137</v>
      </c>
    </row>
    <row r="16" spans="1:5" x14ac:dyDescent="0.25">
      <c r="B16" t="s">
        <v>665</v>
      </c>
      <c r="C16">
        <f>119/D16</f>
        <v>9.3922651933701654E-2</v>
      </c>
      <c r="D16">
        <f>119+1148</f>
        <v>1267</v>
      </c>
      <c r="E16" s="37">
        <f>C16*D16</f>
        <v>119</v>
      </c>
    </row>
    <row r="17" spans="1:5" x14ac:dyDescent="0.25">
      <c r="B17" t="s">
        <v>666</v>
      </c>
      <c r="C17">
        <f>31/D17</f>
        <v>6.042884990253411E-2</v>
      </c>
      <c r="D17">
        <f>31+482</f>
        <v>513</v>
      </c>
      <c r="E17" s="37">
        <f>C17*D17</f>
        <v>31</v>
      </c>
    </row>
    <row r="18" spans="1:5" x14ac:dyDescent="0.25">
      <c r="B18" t="s">
        <v>667</v>
      </c>
    </row>
    <row r="20" spans="1:5" x14ac:dyDescent="0.25">
      <c r="B20" t="s">
        <v>669</v>
      </c>
    </row>
    <row r="21" spans="1:5" x14ac:dyDescent="0.25">
      <c r="B21" t="s">
        <v>670</v>
      </c>
      <c r="C21" t="s">
        <v>595</v>
      </c>
      <c r="D21" t="s">
        <v>106</v>
      </c>
    </row>
    <row r="22" spans="1:5" x14ac:dyDescent="0.25">
      <c r="B22" t="s">
        <v>456</v>
      </c>
      <c r="C22">
        <f>59/D22</f>
        <v>0.13111111111111112</v>
      </c>
      <c r="D22">
        <f>391+59</f>
        <v>450</v>
      </c>
    </row>
    <row r="23" spans="1:5" x14ac:dyDescent="0.25">
      <c r="B23" t="s">
        <v>671</v>
      </c>
      <c r="C23">
        <f>73/D23</f>
        <v>0.13721804511278196</v>
      </c>
      <c r="D23">
        <f>459+73</f>
        <v>532</v>
      </c>
    </row>
    <row r="24" spans="1:5" x14ac:dyDescent="0.25">
      <c r="B24" t="s">
        <v>427</v>
      </c>
      <c r="C24">
        <f>49/D24</f>
        <v>0.10722100656455143</v>
      </c>
      <c r="D24">
        <f>408+49</f>
        <v>457</v>
      </c>
    </row>
    <row r="25" spans="1:5" x14ac:dyDescent="0.25">
      <c r="B25" t="s">
        <v>672</v>
      </c>
      <c r="C25">
        <f>57/D25</f>
        <v>9.7269624573378843E-2</v>
      </c>
      <c r="D25">
        <f>529+57</f>
        <v>586</v>
      </c>
    </row>
    <row r="27" spans="1:5" x14ac:dyDescent="0.25">
      <c r="A27" s="2" t="s">
        <v>674</v>
      </c>
    </row>
    <row r="28" spans="1:5" x14ac:dyDescent="0.25">
      <c r="B28" t="s">
        <v>679</v>
      </c>
    </row>
    <row r="29" spans="1:5" x14ac:dyDescent="0.25">
      <c r="B29" t="s">
        <v>678</v>
      </c>
      <c r="C29" t="s">
        <v>595</v>
      </c>
    </row>
    <row r="30" spans="1:5" x14ac:dyDescent="0.25">
      <c r="B30" t="s">
        <v>675</v>
      </c>
      <c r="C30">
        <v>5.8</v>
      </c>
    </row>
    <row r="31" spans="1:5" x14ac:dyDescent="0.25">
      <c r="B31" t="s">
        <v>676</v>
      </c>
      <c r="C31">
        <v>3.5</v>
      </c>
    </row>
    <row r="32" spans="1:5" x14ac:dyDescent="0.25">
      <c r="B32" t="s">
        <v>677</v>
      </c>
      <c r="C32">
        <v>1.2</v>
      </c>
    </row>
    <row r="33" spans="1:6" x14ac:dyDescent="0.25">
      <c r="B33" t="s">
        <v>282</v>
      </c>
      <c r="C33">
        <v>1.5</v>
      </c>
    </row>
    <row r="34" spans="1:6" x14ac:dyDescent="0.25">
      <c r="B34" t="s">
        <v>680</v>
      </c>
    </row>
    <row r="36" spans="1:6" x14ac:dyDescent="0.25">
      <c r="A36" s="2" t="s">
        <v>683</v>
      </c>
    </row>
    <row r="37" spans="1:6" x14ac:dyDescent="0.25">
      <c r="B37" t="s">
        <v>682</v>
      </c>
    </row>
    <row r="38" spans="1:6" x14ac:dyDescent="0.25">
      <c r="C38" t="s">
        <v>559</v>
      </c>
      <c r="D38" t="s">
        <v>561</v>
      </c>
    </row>
    <row r="39" spans="1:6" x14ac:dyDescent="0.25">
      <c r="B39" t="s">
        <v>681</v>
      </c>
      <c r="C39">
        <f>15/84</f>
        <v>0.17857142857142858</v>
      </c>
      <c r="D39">
        <f>24/266</f>
        <v>9.0225563909774431E-2</v>
      </c>
    </row>
    <row r="40" spans="1:6" x14ac:dyDescent="0.25">
      <c r="B40" t="s">
        <v>281</v>
      </c>
      <c r="C40">
        <f>10/84</f>
        <v>0.11904761904761904</v>
      </c>
      <c r="D40">
        <f>5/266</f>
        <v>1.8796992481203006E-2</v>
      </c>
      <c r="F40" s="37"/>
    </row>
    <row r="42" spans="1:6" x14ac:dyDescent="0.25">
      <c r="B42" t="s">
        <v>684</v>
      </c>
    </row>
    <row r="43" spans="1:6" x14ac:dyDescent="0.25">
      <c r="B43" t="s">
        <v>646</v>
      </c>
      <c r="C43" t="s">
        <v>685</v>
      </c>
    </row>
    <row r="44" spans="1:6" x14ac:dyDescent="0.25">
      <c r="B44" t="s">
        <v>561</v>
      </c>
      <c r="C44" t="s">
        <v>686</v>
      </c>
    </row>
    <row r="45" spans="1:6" x14ac:dyDescent="0.25">
      <c r="B45" t="s">
        <v>687</v>
      </c>
    </row>
    <row r="47" spans="1:6" x14ac:dyDescent="0.25">
      <c r="A47" s="2" t="s">
        <v>688</v>
      </c>
    </row>
    <row r="48" spans="1:6" x14ac:dyDescent="0.25">
      <c r="B48" t="s">
        <v>689</v>
      </c>
    </row>
    <row r="49" spans="1:5" x14ac:dyDescent="0.25">
      <c r="C49" t="s">
        <v>595</v>
      </c>
    </row>
    <row r="50" spans="1:5" x14ac:dyDescent="0.25">
      <c r="B50" t="s">
        <v>295</v>
      </c>
      <c r="C50">
        <v>33.1</v>
      </c>
    </row>
    <row r="51" spans="1:5" x14ac:dyDescent="0.25">
      <c r="B51" t="s">
        <v>690</v>
      </c>
      <c r="C51">
        <v>10.5</v>
      </c>
    </row>
    <row r="52" spans="1:5" x14ac:dyDescent="0.25">
      <c r="B52" t="s">
        <v>691</v>
      </c>
      <c r="C52">
        <v>12.8</v>
      </c>
    </row>
    <row r="53" spans="1:5" x14ac:dyDescent="0.25">
      <c r="B53" t="s">
        <v>692</v>
      </c>
    </row>
    <row r="55" spans="1:5" x14ac:dyDescent="0.25">
      <c r="A55" s="2" t="s">
        <v>1222</v>
      </c>
    </row>
    <row r="56" spans="1:5" x14ac:dyDescent="0.25">
      <c r="B56" t="s">
        <v>1172</v>
      </c>
    </row>
    <row r="57" spans="1:5" x14ac:dyDescent="0.25">
      <c r="C57" t="s">
        <v>646</v>
      </c>
      <c r="D57" t="s">
        <v>561</v>
      </c>
    </row>
    <row r="58" spans="1:5" x14ac:dyDescent="0.25">
      <c r="B58" t="s">
        <v>545</v>
      </c>
      <c r="C58" s="18">
        <v>0.191</v>
      </c>
      <c r="D58" s="18">
        <v>0.08</v>
      </c>
    </row>
    <row r="59" spans="1:5" x14ac:dyDescent="0.25">
      <c r="B59" t="s">
        <v>1170</v>
      </c>
      <c r="C59" s="18">
        <v>0.13100000000000001</v>
      </c>
      <c r="D59" s="18">
        <v>1.4999999999999999E-2</v>
      </c>
    </row>
    <row r="60" spans="1:5" x14ac:dyDescent="0.25">
      <c r="B60" t="s">
        <v>291</v>
      </c>
      <c r="C60" s="18">
        <v>0.16700000000000001</v>
      </c>
      <c r="D60" s="18">
        <v>1.9E-2</v>
      </c>
    </row>
    <row r="61" spans="1:5" x14ac:dyDescent="0.25">
      <c r="B61" t="s">
        <v>1171</v>
      </c>
      <c r="C61" s="18">
        <v>0.27400000000000002</v>
      </c>
      <c r="D61" s="18">
        <v>0.182</v>
      </c>
      <c r="E61" s="18"/>
    </row>
    <row r="63" spans="1:5" x14ac:dyDescent="0.25">
      <c r="A63" s="2" t="s">
        <v>1220</v>
      </c>
    </row>
    <row r="64" spans="1:5" x14ac:dyDescent="0.25">
      <c r="B64" t="s">
        <v>1223</v>
      </c>
    </row>
    <row r="65" spans="2:4" x14ac:dyDescent="0.25">
      <c r="B65" t="s">
        <v>1219</v>
      </c>
    </row>
    <row r="66" spans="2:4" x14ac:dyDescent="0.25">
      <c r="C66" t="s">
        <v>74</v>
      </c>
      <c r="D66" t="s">
        <v>107</v>
      </c>
    </row>
    <row r="67" spans="2:4" x14ac:dyDescent="0.25">
      <c r="B67" t="s">
        <v>1221</v>
      </c>
      <c r="C67">
        <v>112</v>
      </c>
      <c r="D67">
        <v>58.6</v>
      </c>
    </row>
    <row r="68" spans="2:4" x14ac:dyDescent="0.25">
      <c r="B68" t="s">
        <v>290</v>
      </c>
      <c r="C68">
        <v>35</v>
      </c>
      <c r="D68">
        <v>18.3</v>
      </c>
    </row>
    <row r="69" spans="2:4" x14ac:dyDescent="0.25">
      <c r="B69" t="s">
        <v>279</v>
      </c>
      <c r="C69">
        <v>20</v>
      </c>
      <c r="D69">
        <v>10.5</v>
      </c>
    </row>
    <row r="70" spans="2:4" x14ac:dyDescent="0.25">
      <c r="B70" t="s">
        <v>280</v>
      </c>
      <c r="C70">
        <v>17</v>
      </c>
      <c r="D70">
        <v>8.9</v>
      </c>
    </row>
    <row r="71" spans="2:4" x14ac:dyDescent="0.25">
      <c r="B71" t="s">
        <v>282</v>
      </c>
      <c r="C71">
        <v>7</v>
      </c>
      <c r="D71">
        <v>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topLeftCell="A43" workbookViewId="0">
      <selection activeCell="A75" sqref="A75"/>
    </sheetView>
  </sheetViews>
  <sheetFormatPr defaultRowHeight="15" x14ac:dyDescent="0.25"/>
  <cols>
    <col min="1" max="1" width="11.7109375" customWidth="1"/>
    <col min="2" max="2" width="13.42578125" customWidth="1"/>
  </cols>
  <sheetData>
    <row r="1" spans="1:5" x14ac:dyDescent="0.25">
      <c r="A1" s="2" t="s">
        <v>120</v>
      </c>
    </row>
    <row r="2" spans="1:5" x14ac:dyDescent="0.25">
      <c r="A2" s="2"/>
    </row>
    <row r="3" spans="1:5" x14ac:dyDescent="0.25">
      <c r="A3" t="s">
        <v>89</v>
      </c>
      <c r="B3" t="s">
        <v>87</v>
      </c>
    </row>
    <row r="4" spans="1:5" x14ac:dyDescent="0.25">
      <c r="B4" t="s">
        <v>80</v>
      </c>
      <c r="C4" t="s">
        <v>74</v>
      </c>
      <c r="D4" t="s">
        <v>86</v>
      </c>
      <c r="E4" t="s">
        <v>75</v>
      </c>
    </row>
    <row r="5" spans="1:5" x14ac:dyDescent="0.25">
      <c r="B5" t="s">
        <v>76</v>
      </c>
      <c r="C5">
        <v>934</v>
      </c>
      <c r="D5">
        <v>7.3</v>
      </c>
      <c r="E5" t="s">
        <v>81</v>
      </c>
    </row>
    <row r="6" spans="1:5" x14ac:dyDescent="0.25">
      <c r="B6" t="s">
        <v>77</v>
      </c>
      <c r="C6">
        <v>987</v>
      </c>
      <c r="D6">
        <v>16.600000000000001</v>
      </c>
      <c r="E6" t="s">
        <v>82</v>
      </c>
    </row>
    <row r="7" spans="1:5" x14ac:dyDescent="0.25">
      <c r="B7" t="s">
        <v>78</v>
      </c>
      <c r="C7">
        <v>519</v>
      </c>
      <c r="D7">
        <v>14</v>
      </c>
      <c r="E7" t="s">
        <v>83</v>
      </c>
    </row>
    <row r="8" spans="1:5" x14ac:dyDescent="0.25">
      <c r="B8" t="s">
        <v>79</v>
      </c>
      <c r="C8">
        <v>254</v>
      </c>
      <c r="D8">
        <v>8</v>
      </c>
      <c r="E8" t="s">
        <v>84</v>
      </c>
    </row>
    <row r="9" spans="1:5" x14ac:dyDescent="0.25">
      <c r="B9" t="s">
        <v>144</v>
      </c>
      <c r="C9">
        <v>2694</v>
      </c>
      <c r="D9">
        <v>11.3</v>
      </c>
      <c r="E9" t="s">
        <v>85</v>
      </c>
    </row>
    <row r="11" spans="1:5" x14ac:dyDescent="0.25">
      <c r="A11" t="s">
        <v>90</v>
      </c>
      <c r="B11" t="s">
        <v>88</v>
      </c>
    </row>
    <row r="13" spans="1:5" x14ac:dyDescent="0.25">
      <c r="B13" s="2" t="s">
        <v>91</v>
      </c>
      <c r="C13" s="1" t="s">
        <v>106</v>
      </c>
      <c r="D13" s="1" t="s">
        <v>107</v>
      </c>
      <c r="E13" t="s">
        <v>75</v>
      </c>
    </row>
    <row r="14" spans="1:5" x14ac:dyDescent="0.25">
      <c r="B14" s="1" t="s">
        <v>92</v>
      </c>
      <c r="C14">
        <v>652</v>
      </c>
      <c r="D14">
        <v>13.9</v>
      </c>
      <c r="E14" s="3" t="s">
        <v>108</v>
      </c>
    </row>
    <row r="15" spans="1:5" x14ac:dyDescent="0.25">
      <c r="B15" s="1" t="s">
        <v>93</v>
      </c>
      <c r="C15">
        <v>529</v>
      </c>
      <c r="D15">
        <v>22.5</v>
      </c>
      <c r="E15" s="3" t="s">
        <v>109</v>
      </c>
    </row>
    <row r="16" spans="1:5" x14ac:dyDescent="0.25">
      <c r="B16" s="2" t="s">
        <v>94</v>
      </c>
      <c r="E16" s="3"/>
    </row>
    <row r="17" spans="1:5" x14ac:dyDescent="0.25">
      <c r="B17" s="1" t="s">
        <v>103</v>
      </c>
      <c r="C17">
        <v>199</v>
      </c>
      <c r="D17">
        <v>3.2</v>
      </c>
      <c r="E17" s="3" t="s">
        <v>110</v>
      </c>
    </row>
    <row r="18" spans="1:5" x14ac:dyDescent="0.25">
      <c r="B18" s="1" t="s">
        <v>104</v>
      </c>
      <c r="C18">
        <v>323</v>
      </c>
      <c r="D18">
        <v>13.9</v>
      </c>
      <c r="E18" s="3" t="s">
        <v>111</v>
      </c>
    </row>
    <row r="19" spans="1:5" x14ac:dyDescent="0.25">
      <c r="B19" s="1" t="s">
        <v>95</v>
      </c>
      <c r="C19">
        <v>405</v>
      </c>
      <c r="D19">
        <v>17.600000000000001</v>
      </c>
      <c r="E19" s="3" t="s">
        <v>112</v>
      </c>
    </row>
    <row r="20" spans="1:5" x14ac:dyDescent="0.25">
      <c r="B20" s="1" t="s">
        <v>105</v>
      </c>
      <c r="C20">
        <v>254</v>
      </c>
      <c r="D20">
        <v>27.8</v>
      </c>
      <c r="E20" s="3" t="s">
        <v>113</v>
      </c>
    </row>
    <row r="21" spans="1:5" x14ac:dyDescent="0.25">
      <c r="B21" s="2" t="s">
        <v>96</v>
      </c>
      <c r="E21" s="3"/>
    </row>
    <row r="22" spans="1:5" x14ac:dyDescent="0.25">
      <c r="B22" s="1" t="s">
        <v>97</v>
      </c>
      <c r="C22">
        <v>251</v>
      </c>
      <c r="D22">
        <v>3.6</v>
      </c>
      <c r="E22" s="3" t="s">
        <v>114</v>
      </c>
    </row>
    <row r="23" spans="1:5" x14ac:dyDescent="0.25">
      <c r="B23" s="1" t="s">
        <v>98</v>
      </c>
      <c r="C23">
        <v>253</v>
      </c>
      <c r="D23">
        <v>11</v>
      </c>
      <c r="E23" s="3" t="s">
        <v>115</v>
      </c>
    </row>
    <row r="24" spans="1:5" x14ac:dyDescent="0.25">
      <c r="B24" s="1" t="s">
        <v>99</v>
      </c>
      <c r="C24">
        <v>259</v>
      </c>
      <c r="D24">
        <v>19.7</v>
      </c>
      <c r="E24" s="3" t="s">
        <v>116</v>
      </c>
    </row>
    <row r="25" spans="1:5" x14ac:dyDescent="0.25">
      <c r="B25" s="1" t="s">
        <v>100</v>
      </c>
      <c r="C25">
        <v>195</v>
      </c>
      <c r="D25">
        <v>25.4</v>
      </c>
      <c r="E25" s="3" t="s">
        <v>117</v>
      </c>
    </row>
    <row r="26" spans="1:5" x14ac:dyDescent="0.25">
      <c r="B26" s="1" t="s">
        <v>101</v>
      </c>
      <c r="C26">
        <v>223</v>
      </c>
      <c r="D26">
        <v>29.6</v>
      </c>
      <c r="E26" s="3" t="s">
        <v>118</v>
      </c>
    </row>
    <row r="27" spans="1:5" x14ac:dyDescent="0.25">
      <c r="B27" s="2" t="s">
        <v>102</v>
      </c>
      <c r="C27">
        <v>1181</v>
      </c>
      <c r="D27">
        <v>16.399999999999999</v>
      </c>
      <c r="E27" s="3" t="s">
        <v>119</v>
      </c>
    </row>
    <row r="29" spans="1:5" x14ac:dyDescent="0.25">
      <c r="A29" s="2" t="s">
        <v>123</v>
      </c>
    </row>
    <row r="30" spans="1:5" x14ac:dyDescent="0.25">
      <c r="B30" t="s">
        <v>127</v>
      </c>
    </row>
    <row r="31" spans="1:5" x14ac:dyDescent="0.25">
      <c r="B31" t="s">
        <v>128</v>
      </c>
    </row>
    <row r="32" spans="1:5" x14ac:dyDescent="0.25">
      <c r="B32" t="s">
        <v>129</v>
      </c>
    </row>
    <row r="33" spans="1:8" s="37" customFormat="1" x14ac:dyDescent="0.25">
      <c r="B33" t="s">
        <v>1083</v>
      </c>
    </row>
    <row r="34" spans="1:8" x14ac:dyDescent="0.25">
      <c r="B34" t="s">
        <v>130</v>
      </c>
    </row>
    <row r="35" spans="1:8" x14ac:dyDescent="0.25">
      <c r="B35" t="s">
        <v>131</v>
      </c>
    </row>
    <row r="36" spans="1:8" x14ac:dyDescent="0.25">
      <c r="B36" t="s">
        <v>132</v>
      </c>
    </row>
    <row r="38" spans="1:8" x14ac:dyDescent="0.25">
      <c r="A38" s="2" t="s">
        <v>136</v>
      </c>
    </row>
    <row r="40" spans="1:8" x14ac:dyDescent="0.25">
      <c r="A40" t="s">
        <v>180</v>
      </c>
      <c r="B40" t="s">
        <v>181</v>
      </c>
    </row>
    <row r="41" spans="1:8" x14ac:dyDescent="0.25">
      <c r="B41" t="s">
        <v>80</v>
      </c>
      <c r="C41" t="s">
        <v>182</v>
      </c>
      <c r="D41" t="s">
        <v>188</v>
      </c>
      <c r="E41" t="s">
        <v>183</v>
      </c>
      <c r="F41" t="s">
        <v>187</v>
      </c>
      <c r="G41" t="s">
        <v>184</v>
      </c>
      <c r="H41" t="s">
        <v>185</v>
      </c>
    </row>
    <row r="42" spans="1:8" x14ac:dyDescent="0.25">
      <c r="B42" t="s">
        <v>137</v>
      </c>
      <c r="C42" s="4">
        <v>2717</v>
      </c>
      <c r="D42">
        <v>2</v>
      </c>
      <c r="E42" s="10">
        <v>54.7</v>
      </c>
      <c r="F42" s="10">
        <v>21.3</v>
      </c>
      <c r="G42" s="10">
        <v>0.9</v>
      </c>
      <c r="H42" s="10">
        <v>23.2</v>
      </c>
    </row>
    <row r="43" spans="1:8" x14ac:dyDescent="0.25">
      <c r="B43" t="s">
        <v>138</v>
      </c>
      <c r="C43" s="4">
        <v>2691</v>
      </c>
      <c r="D43">
        <v>10</v>
      </c>
      <c r="E43">
        <v>57.1</v>
      </c>
      <c r="F43">
        <v>37.700000000000003</v>
      </c>
      <c r="G43">
        <v>2</v>
      </c>
      <c r="H43">
        <v>2.9</v>
      </c>
    </row>
    <row r="44" spans="1:8" x14ac:dyDescent="0.25">
      <c r="B44" t="s">
        <v>139</v>
      </c>
      <c r="C44" s="4">
        <v>2932</v>
      </c>
      <c r="D44">
        <v>15.4</v>
      </c>
      <c r="E44">
        <v>62.3</v>
      </c>
      <c r="F44">
        <v>29.8</v>
      </c>
      <c r="G44">
        <v>0.5</v>
      </c>
      <c r="H44">
        <v>7.2</v>
      </c>
    </row>
    <row r="45" spans="1:8" x14ac:dyDescent="0.25">
      <c r="B45" t="s">
        <v>140</v>
      </c>
      <c r="C45" s="4">
        <v>2162</v>
      </c>
      <c r="D45">
        <v>19</v>
      </c>
      <c r="E45">
        <v>62.6</v>
      </c>
      <c r="F45">
        <v>31.1</v>
      </c>
      <c r="G45">
        <v>2.1</v>
      </c>
      <c r="H45">
        <v>3.6</v>
      </c>
    </row>
    <row r="46" spans="1:8" x14ac:dyDescent="0.25">
      <c r="B46" t="s">
        <v>141</v>
      </c>
      <c r="C46" s="4">
        <v>1780</v>
      </c>
      <c r="D46">
        <v>19.2</v>
      </c>
      <c r="E46">
        <v>67.3</v>
      </c>
      <c r="F46">
        <v>28.7</v>
      </c>
      <c r="G46">
        <v>0.8</v>
      </c>
      <c r="H46">
        <v>3</v>
      </c>
    </row>
    <row r="47" spans="1:8" x14ac:dyDescent="0.25">
      <c r="B47" t="s">
        <v>142</v>
      </c>
      <c r="C47" s="4">
        <v>1292</v>
      </c>
      <c r="D47">
        <v>22.4</v>
      </c>
      <c r="E47">
        <v>61.9</v>
      </c>
      <c r="F47">
        <v>32.200000000000003</v>
      </c>
      <c r="G47">
        <v>1</v>
      </c>
      <c r="H47">
        <v>4.9000000000000004</v>
      </c>
    </row>
    <row r="48" spans="1:8" x14ac:dyDescent="0.25">
      <c r="B48" t="s">
        <v>143</v>
      </c>
      <c r="C48" s="4">
        <v>1052</v>
      </c>
      <c r="D48">
        <v>19.8</v>
      </c>
      <c r="E48">
        <v>59.8</v>
      </c>
      <c r="F48">
        <v>34.799999999999997</v>
      </c>
      <c r="G48">
        <v>2.6</v>
      </c>
      <c r="H48">
        <v>2.7</v>
      </c>
    </row>
    <row r="49" spans="1:8" x14ac:dyDescent="0.25">
      <c r="B49" t="s">
        <v>144</v>
      </c>
      <c r="C49" s="4">
        <v>14625</v>
      </c>
      <c r="D49">
        <v>13.8</v>
      </c>
      <c r="E49">
        <v>62</v>
      </c>
      <c r="F49">
        <v>31.6</v>
      </c>
      <c r="G49">
        <v>1.4</v>
      </c>
      <c r="H49">
        <v>4.8</v>
      </c>
    </row>
    <row r="50" spans="1:8" x14ac:dyDescent="0.25">
      <c r="B50" t="s">
        <v>158</v>
      </c>
      <c r="C50" s="4">
        <v>1908</v>
      </c>
      <c r="D50">
        <v>13.1</v>
      </c>
      <c r="E50">
        <v>62.6</v>
      </c>
      <c r="F50">
        <v>34</v>
      </c>
      <c r="G50">
        <v>0.2</v>
      </c>
      <c r="H50">
        <v>2.5</v>
      </c>
    </row>
    <row r="51" spans="1:8" x14ac:dyDescent="0.25">
      <c r="B51" t="s">
        <v>186</v>
      </c>
    </row>
    <row r="53" spans="1:8" x14ac:dyDescent="0.25">
      <c r="A53" s="2" t="s">
        <v>402</v>
      </c>
    </row>
    <row r="54" spans="1:8" x14ac:dyDescent="0.25">
      <c r="B54" t="s">
        <v>444</v>
      </c>
    </row>
    <row r="55" spans="1:8" x14ac:dyDescent="0.25">
      <c r="C55" t="s">
        <v>450</v>
      </c>
      <c r="D55" t="s">
        <v>451</v>
      </c>
    </row>
    <row r="56" spans="1:8" x14ac:dyDescent="0.25">
      <c r="B56" t="s">
        <v>445</v>
      </c>
      <c r="C56">
        <v>8.9</v>
      </c>
      <c r="D56">
        <v>3.5</v>
      </c>
    </row>
    <row r="57" spans="1:8" x14ac:dyDescent="0.25">
      <c r="B57" t="s">
        <v>446</v>
      </c>
      <c r="C57">
        <v>10.199999999999999</v>
      </c>
      <c r="D57">
        <v>9.1999999999999993</v>
      </c>
    </row>
    <row r="58" spans="1:8" x14ac:dyDescent="0.25">
      <c r="B58" t="s">
        <v>447</v>
      </c>
      <c r="C58">
        <v>13.4</v>
      </c>
      <c r="D58">
        <v>9.1</v>
      </c>
    </row>
    <row r="59" spans="1:8" x14ac:dyDescent="0.25">
      <c r="B59" t="s">
        <v>448</v>
      </c>
      <c r="C59">
        <v>16.600000000000001</v>
      </c>
      <c r="D59">
        <v>11.2</v>
      </c>
    </row>
    <row r="60" spans="1:8" x14ac:dyDescent="0.25">
      <c r="B60" t="s">
        <v>449</v>
      </c>
      <c r="C60">
        <v>8.9</v>
      </c>
      <c r="D60">
        <v>8.4</v>
      </c>
    </row>
    <row r="61" spans="1:8" x14ac:dyDescent="0.25">
      <c r="B61" t="s">
        <v>144</v>
      </c>
      <c r="C61">
        <v>12.3</v>
      </c>
      <c r="D61">
        <v>7.4</v>
      </c>
    </row>
    <row r="62" spans="1:8" x14ac:dyDescent="0.25">
      <c r="B62" t="s">
        <v>158</v>
      </c>
      <c r="C62">
        <v>12.2</v>
      </c>
      <c r="D62">
        <v>5.5</v>
      </c>
    </row>
    <row r="64" spans="1:8" x14ac:dyDescent="0.25">
      <c r="A64" s="2" t="s">
        <v>1157</v>
      </c>
    </row>
    <row r="65" spans="1:7" s="37" customFormat="1" x14ac:dyDescent="0.25">
      <c r="A65" s="2"/>
      <c r="B65" s="37" t="s">
        <v>1159</v>
      </c>
      <c r="E65" s="37" t="s">
        <v>1158</v>
      </c>
    </row>
    <row r="66" spans="1:7" x14ac:dyDescent="0.25">
      <c r="B66" t="s">
        <v>1154</v>
      </c>
      <c r="E66" t="s">
        <v>1160</v>
      </c>
      <c r="F66" t="s">
        <v>188</v>
      </c>
      <c r="G66" t="s">
        <v>1161</v>
      </c>
    </row>
    <row r="67" spans="1:7" x14ac:dyDescent="0.25">
      <c r="B67" t="s">
        <v>76</v>
      </c>
      <c r="C67">
        <v>2</v>
      </c>
      <c r="E67" t="s">
        <v>550</v>
      </c>
      <c r="F67">
        <v>17.900000000000006</v>
      </c>
      <c r="G67">
        <v>7.2</v>
      </c>
    </row>
    <row r="68" spans="1:7" x14ac:dyDescent="0.25">
      <c r="B68" t="s">
        <v>156</v>
      </c>
      <c r="C68">
        <v>5.9</v>
      </c>
      <c r="E68" t="s">
        <v>577</v>
      </c>
      <c r="F68">
        <v>18.400000000000006</v>
      </c>
      <c r="G68">
        <v>6.3</v>
      </c>
    </row>
    <row r="69" spans="1:7" x14ac:dyDescent="0.25">
      <c r="B69" t="s">
        <v>157</v>
      </c>
      <c r="C69">
        <v>5.5</v>
      </c>
      <c r="E69" t="s">
        <v>578</v>
      </c>
      <c r="F69">
        <v>15.900000000000006</v>
      </c>
      <c r="G69">
        <v>3.1</v>
      </c>
    </row>
    <row r="70" spans="1:7" x14ac:dyDescent="0.25">
      <c r="B70" t="s">
        <v>1152</v>
      </c>
      <c r="C70">
        <v>1.2</v>
      </c>
      <c r="E70" t="s">
        <v>1109</v>
      </c>
      <c r="F70">
        <v>11.099999999999994</v>
      </c>
      <c r="G70">
        <v>2.9</v>
      </c>
    </row>
    <row r="71" spans="1:7" x14ac:dyDescent="0.25">
      <c r="B71" t="s">
        <v>79</v>
      </c>
      <c r="C71">
        <v>0.1</v>
      </c>
      <c r="E71" t="s">
        <v>645</v>
      </c>
      <c r="F71">
        <v>16.900000000000006</v>
      </c>
      <c r="G71">
        <v>5.8</v>
      </c>
    </row>
    <row r="72" spans="1:7" x14ac:dyDescent="0.25">
      <c r="B72" t="s">
        <v>1153</v>
      </c>
      <c r="C72">
        <v>0</v>
      </c>
    </row>
    <row r="73" spans="1:7" x14ac:dyDescent="0.25">
      <c r="B73" t="s">
        <v>144</v>
      </c>
      <c r="C73">
        <v>3.2</v>
      </c>
    </row>
    <row r="75" spans="1:7" x14ac:dyDescent="0.25">
      <c r="A7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6"/>
  <sheetViews>
    <sheetView tabSelected="1" topLeftCell="B41" workbookViewId="0">
      <selection activeCell="F46" sqref="F46:F58"/>
    </sheetView>
  </sheetViews>
  <sheetFormatPr defaultRowHeight="15" x14ac:dyDescent="0.25"/>
  <cols>
    <col min="6" max="6" width="9.5703125" bestFit="1" customWidth="1"/>
  </cols>
  <sheetData>
    <row r="1" spans="1:3" x14ac:dyDescent="0.25">
      <c r="A1" s="2" t="s">
        <v>123</v>
      </c>
    </row>
    <row r="2" spans="1:3" x14ac:dyDescent="0.25">
      <c r="B2" t="s">
        <v>126</v>
      </c>
    </row>
    <row r="3" spans="1:3" x14ac:dyDescent="0.25">
      <c r="B3" t="s">
        <v>121</v>
      </c>
    </row>
    <row r="4" spans="1:3" x14ac:dyDescent="0.25">
      <c r="B4" t="s">
        <v>122</v>
      </c>
    </row>
    <row r="5" spans="1:3" x14ac:dyDescent="0.25">
      <c r="B5" t="s">
        <v>124</v>
      </c>
    </row>
    <row r="6" spans="1:3" x14ac:dyDescent="0.25">
      <c r="B6" t="s">
        <v>125</v>
      </c>
    </row>
    <row r="8" spans="1:3" x14ac:dyDescent="0.25">
      <c r="A8" s="2" t="s">
        <v>616</v>
      </c>
    </row>
    <row r="10" spans="1:3" x14ac:dyDescent="0.25">
      <c r="B10" t="s">
        <v>619</v>
      </c>
    </row>
    <row r="11" spans="1:3" x14ac:dyDescent="0.25">
      <c r="B11" t="s">
        <v>246</v>
      </c>
      <c r="C11" t="s">
        <v>618</v>
      </c>
    </row>
    <row r="12" spans="1:3" x14ac:dyDescent="0.25">
      <c r="B12" t="s">
        <v>138</v>
      </c>
      <c r="C12">
        <v>1.67</v>
      </c>
    </row>
    <row r="13" spans="1:3" x14ac:dyDescent="0.25">
      <c r="B13" t="s">
        <v>139</v>
      </c>
      <c r="C13">
        <v>3.63</v>
      </c>
    </row>
    <row r="14" spans="1:3" x14ac:dyDescent="0.25">
      <c r="B14" s="37" t="s">
        <v>140</v>
      </c>
      <c r="C14">
        <v>14.37</v>
      </c>
    </row>
    <row r="15" spans="1:3" x14ac:dyDescent="0.25">
      <c r="B15" s="37" t="s">
        <v>141</v>
      </c>
      <c r="C15">
        <v>41.72</v>
      </c>
    </row>
    <row r="16" spans="1:3" x14ac:dyDescent="0.25">
      <c r="B16" s="37" t="s">
        <v>142</v>
      </c>
      <c r="C16">
        <v>70.34</v>
      </c>
    </row>
    <row r="17" spans="1:3" x14ac:dyDescent="0.25">
      <c r="B17" s="37" t="s">
        <v>143</v>
      </c>
      <c r="C17">
        <v>74.19</v>
      </c>
    </row>
    <row r="18" spans="1:3" x14ac:dyDescent="0.25">
      <c r="B18" s="37" t="s">
        <v>392</v>
      </c>
      <c r="C18">
        <v>127.79</v>
      </c>
    </row>
    <row r="19" spans="1:3" x14ac:dyDescent="0.25">
      <c r="B19" s="37" t="s">
        <v>461</v>
      </c>
      <c r="C19">
        <v>148.35</v>
      </c>
    </row>
    <row r="20" spans="1:3" x14ac:dyDescent="0.25">
      <c r="B20" s="37" t="s">
        <v>324</v>
      </c>
      <c r="C20">
        <v>193.66</v>
      </c>
    </row>
    <row r="21" spans="1:3" x14ac:dyDescent="0.25">
      <c r="B21" s="37" t="s">
        <v>462</v>
      </c>
      <c r="C21">
        <v>199.95</v>
      </c>
    </row>
    <row r="22" spans="1:3" x14ac:dyDescent="0.25">
      <c r="B22" s="37" t="s">
        <v>463</v>
      </c>
      <c r="C22">
        <v>170.4</v>
      </c>
    </row>
    <row r="23" spans="1:3" x14ac:dyDescent="0.25">
      <c r="B23" t="s">
        <v>617</v>
      </c>
      <c r="C23">
        <v>134.78</v>
      </c>
    </row>
    <row r="24" spans="1:3" s="37" customFormat="1" x14ac:dyDescent="0.25">
      <c r="B24" s="37" t="s">
        <v>297</v>
      </c>
      <c r="C24" s="37">
        <v>46.1</v>
      </c>
    </row>
    <row r="26" spans="1:3" x14ac:dyDescent="0.25">
      <c r="A26" s="2" t="s">
        <v>980</v>
      </c>
    </row>
    <row r="27" spans="1:3" x14ac:dyDescent="0.25">
      <c r="B27" t="s">
        <v>642</v>
      </c>
    </row>
    <row r="28" spans="1:3" x14ac:dyDescent="0.25">
      <c r="B28" t="s">
        <v>150</v>
      </c>
      <c r="C28" t="s">
        <v>643</v>
      </c>
    </row>
    <row r="29" spans="1:3" x14ac:dyDescent="0.25">
      <c r="B29" s="37" t="s">
        <v>137</v>
      </c>
      <c r="C29">
        <v>2</v>
      </c>
    </row>
    <row r="30" spans="1:3" x14ac:dyDescent="0.25">
      <c r="B30" s="37" t="s">
        <v>138</v>
      </c>
      <c r="C30">
        <v>3</v>
      </c>
    </row>
    <row r="31" spans="1:3" x14ac:dyDescent="0.25">
      <c r="B31" s="37" t="s">
        <v>139</v>
      </c>
      <c r="C31">
        <v>7</v>
      </c>
    </row>
    <row r="32" spans="1:3" x14ac:dyDescent="0.25">
      <c r="B32" s="37" t="s">
        <v>140</v>
      </c>
      <c r="C32">
        <v>21</v>
      </c>
    </row>
    <row r="33" spans="2:6" x14ac:dyDescent="0.25">
      <c r="B33" s="37" t="s">
        <v>141</v>
      </c>
      <c r="C33">
        <v>27</v>
      </c>
    </row>
    <row r="34" spans="2:6" x14ac:dyDescent="0.25">
      <c r="B34" s="37" t="s">
        <v>142</v>
      </c>
      <c r="C34">
        <v>35</v>
      </c>
    </row>
    <row r="35" spans="2:6" x14ac:dyDescent="0.25">
      <c r="B35" s="37" t="s">
        <v>143</v>
      </c>
      <c r="C35">
        <v>36</v>
      </c>
    </row>
    <row r="36" spans="2:6" x14ac:dyDescent="0.25">
      <c r="B36" s="37" t="s">
        <v>318</v>
      </c>
      <c r="C36">
        <v>27</v>
      </c>
    </row>
    <row r="37" spans="2:6" x14ac:dyDescent="0.25">
      <c r="B37" s="37" t="s">
        <v>319</v>
      </c>
      <c r="C37">
        <v>21</v>
      </c>
    </row>
    <row r="38" spans="2:6" x14ac:dyDescent="0.25">
      <c r="B38" s="37" t="s">
        <v>324</v>
      </c>
      <c r="C38">
        <v>15</v>
      </c>
    </row>
    <row r="39" spans="2:6" x14ac:dyDescent="0.25">
      <c r="B39" s="37" t="s">
        <v>325</v>
      </c>
      <c r="C39">
        <v>11</v>
      </c>
    </row>
    <row r="40" spans="2:6" x14ac:dyDescent="0.25">
      <c r="B40" s="37" t="s">
        <v>326</v>
      </c>
      <c r="C40">
        <v>9</v>
      </c>
    </row>
    <row r="41" spans="2:6" x14ac:dyDescent="0.25">
      <c r="B41" s="37" t="s">
        <v>617</v>
      </c>
      <c r="C41">
        <v>15</v>
      </c>
    </row>
    <row r="43" spans="2:6" x14ac:dyDescent="0.25">
      <c r="B43" s="37" t="s">
        <v>644</v>
      </c>
    </row>
    <row r="44" spans="2:6" s="37" customFormat="1" x14ac:dyDescent="0.25">
      <c r="C44" s="37" t="s">
        <v>643</v>
      </c>
    </row>
    <row r="45" spans="2:6" x14ac:dyDescent="0.25">
      <c r="B45" s="37" t="s">
        <v>150</v>
      </c>
      <c r="C45" t="s">
        <v>1167</v>
      </c>
      <c r="D45" t="s">
        <v>1165</v>
      </c>
      <c r="E45" t="s">
        <v>1166</v>
      </c>
      <c r="F45" t="s">
        <v>1350</v>
      </c>
    </row>
    <row r="46" spans="2:6" x14ac:dyDescent="0.25">
      <c r="B46" s="37" t="s">
        <v>137</v>
      </c>
      <c r="C46">
        <v>0</v>
      </c>
      <c r="D46" s="37">
        <v>1</v>
      </c>
      <c r="E46" s="37">
        <v>2</v>
      </c>
      <c r="F46" s="8">
        <v>0.71663276499999995</v>
      </c>
    </row>
    <row r="47" spans="2:6" x14ac:dyDescent="0.25">
      <c r="B47" s="37" t="s">
        <v>138</v>
      </c>
      <c r="C47" s="37">
        <v>1.67</v>
      </c>
      <c r="D47" s="37">
        <v>12</v>
      </c>
      <c r="E47" s="37">
        <v>3</v>
      </c>
      <c r="F47" s="8">
        <v>0.84806759499999995</v>
      </c>
    </row>
    <row r="48" spans="2:6" x14ac:dyDescent="0.25">
      <c r="B48" s="37" t="s">
        <v>139</v>
      </c>
      <c r="C48" s="37">
        <v>3.63</v>
      </c>
      <c r="D48" s="37">
        <v>34</v>
      </c>
      <c r="E48" s="37">
        <v>7</v>
      </c>
      <c r="F48" s="8">
        <v>7.9909247380000004</v>
      </c>
    </row>
    <row r="49" spans="1:6" x14ac:dyDescent="0.25">
      <c r="B49" s="37" t="s">
        <v>140</v>
      </c>
      <c r="C49" s="37">
        <v>14.37</v>
      </c>
      <c r="D49" s="37">
        <v>86</v>
      </c>
      <c r="E49" s="37">
        <v>21</v>
      </c>
      <c r="F49" s="8">
        <v>20.97637302</v>
      </c>
    </row>
    <row r="50" spans="1:6" x14ac:dyDescent="0.25">
      <c r="B50" s="37" t="s">
        <v>141</v>
      </c>
      <c r="C50" s="37">
        <v>41.72</v>
      </c>
      <c r="D50" s="37">
        <v>156</v>
      </c>
      <c r="E50" s="37">
        <v>27</v>
      </c>
      <c r="F50" s="8">
        <v>40.716632760000003</v>
      </c>
    </row>
    <row r="51" spans="1:6" x14ac:dyDescent="0.25">
      <c r="B51" s="37" t="s">
        <v>142</v>
      </c>
      <c r="C51" s="37">
        <v>70.34</v>
      </c>
      <c r="D51" s="37">
        <v>187</v>
      </c>
      <c r="E51" s="37">
        <v>35</v>
      </c>
      <c r="F51" s="8">
        <v>62.664684710000003</v>
      </c>
    </row>
    <row r="52" spans="1:6" x14ac:dyDescent="0.25">
      <c r="B52" s="37" t="s">
        <v>143</v>
      </c>
      <c r="C52" s="37">
        <v>74.19</v>
      </c>
      <c r="D52" s="37">
        <v>163</v>
      </c>
      <c r="E52" s="37">
        <v>36</v>
      </c>
      <c r="F52" s="8">
        <v>83.052730400000002</v>
      </c>
    </row>
    <row r="53" spans="1:6" x14ac:dyDescent="0.25">
      <c r="B53" s="37" t="s">
        <v>318</v>
      </c>
      <c r="C53" s="37">
        <v>127.79</v>
      </c>
      <c r="D53" s="37">
        <v>144</v>
      </c>
      <c r="E53" s="37">
        <v>27</v>
      </c>
      <c r="F53" s="8">
        <v>103.4423408</v>
      </c>
    </row>
    <row r="54" spans="1:6" x14ac:dyDescent="0.25">
      <c r="B54" s="37" t="s">
        <v>319</v>
      </c>
      <c r="C54" s="37">
        <v>148.35</v>
      </c>
      <c r="D54" s="37">
        <v>120</v>
      </c>
      <c r="E54" s="37">
        <v>21</v>
      </c>
      <c r="F54" s="8">
        <v>130.323893</v>
      </c>
    </row>
    <row r="55" spans="1:6" x14ac:dyDescent="0.25">
      <c r="B55" s="37" t="s">
        <v>324</v>
      </c>
      <c r="C55" s="37">
        <v>193.66</v>
      </c>
      <c r="D55" s="37">
        <v>90</v>
      </c>
      <c r="E55" s="37">
        <v>15</v>
      </c>
      <c r="F55" s="8">
        <v>150.4537631</v>
      </c>
    </row>
    <row r="56" spans="1:6" x14ac:dyDescent="0.25">
      <c r="B56" s="37" t="s">
        <v>325</v>
      </c>
      <c r="C56" s="37">
        <v>199.95</v>
      </c>
      <c r="D56" s="37">
        <v>57</v>
      </c>
      <c r="E56" s="37">
        <v>11</v>
      </c>
      <c r="F56" s="8">
        <v>156.29791890000001</v>
      </c>
    </row>
    <row r="57" spans="1:6" x14ac:dyDescent="0.25">
      <c r="B57" s="37" t="s">
        <v>326</v>
      </c>
      <c r="C57" s="37">
        <v>170.4</v>
      </c>
      <c r="D57" s="37">
        <v>40</v>
      </c>
      <c r="E57" s="37">
        <v>9</v>
      </c>
      <c r="F57" s="8">
        <v>150.71350340000001</v>
      </c>
    </row>
    <row r="58" spans="1:6" x14ac:dyDescent="0.25">
      <c r="B58" s="37" t="s">
        <v>617</v>
      </c>
      <c r="C58" s="37">
        <v>134.78</v>
      </c>
      <c r="D58" s="37">
        <v>48</v>
      </c>
      <c r="E58" s="37">
        <v>15</v>
      </c>
      <c r="F58" s="8">
        <v>133.18103579999999</v>
      </c>
    </row>
    <row r="60" spans="1:6" x14ac:dyDescent="0.25">
      <c r="A60" s="2" t="s">
        <v>981</v>
      </c>
    </row>
    <row r="61" spans="1:6" x14ac:dyDescent="0.25">
      <c r="B61" s="37" t="s">
        <v>982</v>
      </c>
      <c r="C61" s="37"/>
    </row>
    <row r="62" spans="1:6" x14ac:dyDescent="0.25">
      <c r="B62" s="37" t="s">
        <v>150</v>
      </c>
      <c r="C62" s="37" t="s">
        <v>643</v>
      </c>
    </row>
    <row r="63" spans="1:6" x14ac:dyDescent="0.25">
      <c r="B63" s="37" t="s">
        <v>137</v>
      </c>
      <c r="C63" s="37">
        <v>0</v>
      </c>
    </row>
    <row r="64" spans="1:6" x14ac:dyDescent="0.25">
      <c r="B64" s="37" t="s">
        <v>138</v>
      </c>
      <c r="C64" s="37">
        <v>1</v>
      </c>
    </row>
    <row r="65" spans="1:4" x14ac:dyDescent="0.25">
      <c r="B65" s="37" t="s">
        <v>139</v>
      </c>
      <c r="C65" s="37">
        <v>7</v>
      </c>
    </row>
    <row r="66" spans="1:4" x14ac:dyDescent="0.25">
      <c r="B66" s="37" t="s">
        <v>140</v>
      </c>
      <c r="C66" s="37">
        <v>9</v>
      </c>
    </row>
    <row r="67" spans="1:4" x14ac:dyDescent="0.25">
      <c r="B67" s="37" t="s">
        <v>141</v>
      </c>
      <c r="C67" s="37">
        <v>24</v>
      </c>
    </row>
    <row r="68" spans="1:4" x14ac:dyDescent="0.25">
      <c r="B68" s="37" t="s">
        <v>142</v>
      </c>
      <c r="C68" s="37">
        <v>28</v>
      </c>
    </row>
    <row r="69" spans="1:4" x14ac:dyDescent="0.25">
      <c r="B69" s="37" t="s">
        <v>143</v>
      </c>
      <c r="C69" s="37">
        <v>31</v>
      </c>
    </row>
    <row r="70" spans="1:4" x14ac:dyDescent="0.25">
      <c r="B70" s="37" t="s">
        <v>318</v>
      </c>
      <c r="C70" s="37">
        <v>30</v>
      </c>
    </row>
    <row r="71" spans="1:4" x14ac:dyDescent="0.25">
      <c r="B71" s="37" t="s">
        <v>319</v>
      </c>
      <c r="C71" s="37">
        <v>23</v>
      </c>
    </row>
    <row r="72" spans="1:4" x14ac:dyDescent="0.25">
      <c r="B72" s="37" t="s">
        <v>324</v>
      </c>
      <c r="C72" s="37">
        <v>23</v>
      </c>
    </row>
    <row r="73" spans="1:4" x14ac:dyDescent="0.25">
      <c r="B73" s="37" t="s">
        <v>325</v>
      </c>
      <c r="C73" s="37">
        <v>11</v>
      </c>
    </row>
    <row r="74" spans="1:4" x14ac:dyDescent="0.25">
      <c r="B74" s="37" t="s">
        <v>326</v>
      </c>
      <c r="C74" s="37">
        <v>15</v>
      </c>
    </row>
    <row r="75" spans="1:4" x14ac:dyDescent="0.25">
      <c r="B75" s="37" t="s">
        <v>617</v>
      </c>
      <c r="C75" s="37">
        <v>10</v>
      </c>
    </row>
    <row r="76" spans="1:4" x14ac:dyDescent="0.25">
      <c r="B76" t="s">
        <v>983</v>
      </c>
      <c r="C76">
        <v>17.7</v>
      </c>
    </row>
    <row r="78" spans="1:4" x14ac:dyDescent="0.25">
      <c r="A78" s="2" t="s">
        <v>1151</v>
      </c>
    </row>
    <row r="79" spans="1:4" x14ac:dyDescent="0.25">
      <c r="B79" t="s">
        <v>1150</v>
      </c>
      <c r="C79">
        <v>20.5</v>
      </c>
    </row>
    <row r="80" spans="1:4" s="37" customFormat="1" x14ac:dyDescent="0.25">
      <c r="B80" s="37" t="s">
        <v>983</v>
      </c>
      <c r="C80" s="37">
        <v>32.5</v>
      </c>
      <c r="D80" s="37" t="s">
        <v>1163</v>
      </c>
    </row>
    <row r="82" spans="1:19" x14ac:dyDescent="0.25">
      <c r="A82" s="2" t="s">
        <v>1155</v>
      </c>
    </row>
    <row r="83" spans="1:19" x14ac:dyDescent="0.25">
      <c r="C83" t="s">
        <v>983</v>
      </c>
    </row>
    <row r="84" spans="1:19" x14ac:dyDescent="0.25">
      <c r="B84" t="s">
        <v>1156</v>
      </c>
      <c r="C84">
        <v>34.5</v>
      </c>
      <c r="D84" t="s">
        <v>1162</v>
      </c>
    </row>
    <row r="86" spans="1:19" x14ac:dyDescent="0.25">
      <c r="A86" s="2" t="s">
        <v>1224</v>
      </c>
    </row>
    <row r="87" spans="1:19" x14ac:dyDescent="0.25">
      <c r="C87" t="s">
        <v>1164</v>
      </c>
    </row>
    <row r="88" spans="1:19" x14ac:dyDescent="0.25">
      <c r="B88" t="s">
        <v>153</v>
      </c>
      <c r="C88">
        <v>40.03</v>
      </c>
    </row>
    <row r="89" spans="1:19" x14ac:dyDescent="0.25">
      <c r="B89" t="s">
        <v>1156</v>
      </c>
      <c r="C89">
        <v>42.7</v>
      </c>
    </row>
    <row r="90" spans="1:19" x14ac:dyDescent="0.25">
      <c r="A90" s="37"/>
      <c r="B90" s="37"/>
      <c r="C90" s="37"/>
      <c r="D90" s="37"/>
      <c r="E90" s="37"/>
      <c r="F90" s="37"/>
      <c r="G90" s="37"/>
      <c r="H90" s="37"/>
      <c r="I90" s="37"/>
      <c r="J90" s="37"/>
      <c r="K90" s="37"/>
      <c r="L90" s="37"/>
      <c r="M90" s="37"/>
      <c r="N90" s="37"/>
      <c r="O90" s="37"/>
      <c r="P90" s="37"/>
      <c r="Q90" s="37"/>
      <c r="R90" s="37"/>
      <c r="S90" s="37"/>
    </row>
    <row r="91" spans="1:19" x14ac:dyDescent="0.25">
      <c r="A91" s="37"/>
      <c r="B91" s="37" t="s">
        <v>1349</v>
      </c>
      <c r="C91" s="37"/>
      <c r="D91" s="37"/>
      <c r="E91" s="37"/>
      <c r="F91" s="37"/>
      <c r="G91" s="37"/>
      <c r="H91" s="37"/>
      <c r="I91" s="37"/>
      <c r="J91" s="37"/>
      <c r="K91" s="37"/>
      <c r="L91" s="37"/>
      <c r="M91" s="37"/>
      <c r="N91" s="37"/>
      <c r="O91" s="37"/>
      <c r="P91" s="37"/>
      <c r="Q91" s="37"/>
      <c r="R91" s="37"/>
      <c r="S91" s="37"/>
    </row>
    <row r="92" spans="1:19" s="37" customFormat="1" x14ac:dyDescent="0.25">
      <c r="B92" s="37" t="s">
        <v>137</v>
      </c>
      <c r="C92" s="37">
        <v>0.71663276499999995</v>
      </c>
    </row>
    <row r="93" spans="1:19" x14ac:dyDescent="0.25">
      <c r="A93" s="37"/>
      <c r="B93" s="37" t="s">
        <v>138</v>
      </c>
      <c r="C93" s="37">
        <v>0.84806759499999995</v>
      </c>
      <c r="D93" s="37"/>
      <c r="E93" s="37"/>
      <c r="F93" s="37"/>
      <c r="G93" s="37"/>
      <c r="H93" s="37"/>
      <c r="I93" s="37"/>
      <c r="J93" s="37"/>
      <c r="K93" s="37"/>
      <c r="L93" s="37"/>
      <c r="M93" s="37"/>
      <c r="N93" s="37"/>
      <c r="O93" s="37"/>
      <c r="P93" s="37"/>
      <c r="Q93" s="37"/>
      <c r="R93" s="37"/>
      <c r="S93" s="37"/>
    </row>
    <row r="94" spans="1:19" x14ac:dyDescent="0.25">
      <c r="A94" s="37"/>
      <c r="B94" s="37" t="s">
        <v>139</v>
      </c>
      <c r="C94" s="37">
        <v>7.9909247380000004</v>
      </c>
      <c r="D94" s="37"/>
      <c r="E94" s="37"/>
      <c r="F94" s="37"/>
      <c r="G94" s="37"/>
      <c r="H94" s="37"/>
      <c r="I94" s="37"/>
      <c r="J94" s="37"/>
      <c r="K94" s="37"/>
      <c r="L94" s="37"/>
      <c r="M94" s="37"/>
      <c r="N94" s="37"/>
      <c r="O94" s="37"/>
      <c r="P94" s="37"/>
      <c r="Q94" s="37"/>
      <c r="R94" s="37"/>
      <c r="S94" s="37"/>
    </row>
    <row r="95" spans="1:19" x14ac:dyDescent="0.25">
      <c r="A95" s="37"/>
      <c r="B95" s="37" t="s">
        <v>140</v>
      </c>
      <c r="C95" s="37">
        <v>20.97637302</v>
      </c>
      <c r="D95" s="37"/>
      <c r="E95" s="37"/>
      <c r="F95" s="37"/>
      <c r="G95" s="37"/>
      <c r="H95" s="37"/>
      <c r="I95" s="37"/>
      <c r="J95" s="37"/>
      <c r="K95" s="37"/>
      <c r="L95" s="37"/>
      <c r="M95" s="37"/>
      <c r="N95" s="37"/>
      <c r="O95" s="37"/>
      <c r="P95" s="37"/>
      <c r="Q95" s="37"/>
      <c r="R95" s="37"/>
      <c r="S95" s="37"/>
    </row>
    <row r="96" spans="1:19" x14ac:dyDescent="0.25">
      <c r="A96" s="37"/>
      <c r="B96" s="37" t="s">
        <v>141</v>
      </c>
      <c r="C96" s="37">
        <v>40.716632760000003</v>
      </c>
      <c r="D96" s="37"/>
      <c r="E96" s="37"/>
      <c r="F96" s="37"/>
      <c r="G96" s="37"/>
      <c r="H96" s="37"/>
      <c r="I96" s="37"/>
      <c r="J96" s="37"/>
      <c r="K96" s="37"/>
      <c r="L96" s="37"/>
      <c r="M96" s="37"/>
      <c r="N96" s="37"/>
      <c r="O96" s="37"/>
      <c r="P96" s="37"/>
      <c r="Q96" s="37"/>
      <c r="R96" s="37"/>
      <c r="S96" s="37"/>
    </row>
    <row r="97" spans="1:19" x14ac:dyDescent="0.25">
      <c r="A97" s="37"/>
      <c r="B97" s="37" t="s">
        <v>142</v>
      </c>
      <c r="C97" s="37">
        <v>62.664684710000003</v>
      </c>
      <c r="D97" s="37"/>
      <c r="E97" s="37"/>
      <c r="F97" s="37"/>
      <c r="G97" s="37"/>
      <c r="H97" s="37"/>
      <c r="I97" s="37"/>
      <c r="J97" s="37"/>
      <c r="K97" s="37"/>
      <c r="L97" s="37"/>
      <c r="M97" s="37"/>
      <c r="N97" s="37"/>
      <c r="O97" s="37"/>
      <c r="P97" s="37"/>
      <c r="Q97" s="37"/>
      <c r="R97" s="37"/>
      <c r="S97" s="37"/>
    </row>
    <row r="98" spans="1:19" x14ac:dyDescent="0.25">
      <c r="A98" s="37"/>
      <c r="B98" s="37" t="s">
        <v>143</v>
      </c>
      <c r="C98" s="37">
        <v>83.052730400000002</v>
      </c>
      <c r="D98" s="37"/>
      <c r="E98" s="37"/>
      <c r="F98" s="37"/>
      <c r="G98" s="37"/>
      <c r="H98" s="37"/>
      <c r="I98" s="37"/>
      <c r="J98" s="37"/>
      <c r="K98" s="37"/>
      <c r="L98" s="37"/>
      <c r="M98" s="37"/>
      <c r="N98" s="37"/>
      <c r="O98" s="37"/>
      <c r="P98" s="37"/>
      <c r="Q98" s="37"/>
      <c r="R98" s="37"/>
      <c r="S98" s="37"/>
    </row>
    <row r="99" spans="1:19" x14ac:dyDescent="0.25">
      <c r="A99" s="37"/>
      <c r="B99" s="37" t="s">
        <v>392</v>
      </c>
      <c r="C99" s="37">
        <v>103.4423408</v>
      </c>
      <c r="D99" s="37"/>
      <c r="E99" s="37"/>
      <c r="F99" s="37"/>
      <c r="G99" s="37"/>
      <c r="H99" s="37"/>
      <c r="I99" s="37"/>
      <c r="J99" s="37"/>
      <c r="K99" s="37"/>
      <c r="L99" s="37"/>
      <c r="M99" s="37"/>
      <c r="N99" s="37"/>
      <c r="O99" s="37"/>
      <c r="P99" s="37"/>
      <c r="Q99" s="37"/>
      <c r="R99" s="37"/>
      <c r="S99" s="37"/>
    </row>
    <row r="100" spans="1:19" x14ac:dyDescent="0.25">
      <c r="A100" s="37"/>
      <c r="B100" s="37" t="s">
        <v>535</v>
      </c>
      <c r="C100" s="37">
        <v>130.323893</v>
      </c>
      <c r="D100" s="37"/>
      <c r="E100" s="37"/>
      <c r="F100" s="37"/>
      <c r="G100" s="37"/>
      <c r="H100" s="37"/>
      <c r="I100" s="37"/>
      <c r="J100" s="37"/>
      <c r="K100" s="37"/>
      <c r="L100" s="37"/>
      <c r="M100" s="37"/>
      <c r="N100" s="37"/>
      <c r="O100" s="37"/>
      <c r="P100" s="37"/>
      <c r="Q100" s="37"/>
      <c r="R100" s="37"/>
      <c r="S100" s="37"/>
    </row>
    <row r="101" spans="1:19" x14ac:dyDescent="0.25">
      <c r="A101" s="37"/>
      <c r="B101" s="37" t="s">
        <v>536</v>
      </c>
      <c r="C101" s="37">
        <v>150.4537631</v>
      </c>
      <c r="D101" s="37"/>
      <c r="E101" s="37"/>
      <c r="F101" s="37"/>
      <c r="G101" s="37"/>
      <c r="H101" s="37"/>
      <c r="I101" s="37"/>
      <c r="J101" s="37"/>
      <c r="K101" s="37"/>
      <c r="L101" s="37"/>
      <c r="M101" s="37"/>
      <c r="N101" s="37"/>
      <c r="O101" s="37"/>
      <c r="P101" s="37"/>
      <c r="Q101" s="37"/>
      <c r="R101" s="37"/>
      <c r="S101" s="37"/>
    </row>
    <row r="102" spans="1:19" x14ac:dyDescent="0.25">
      <c r="A102" s="37"/>
      <c r="B102" s="37" t="s">
        <v>970</v>
      </c>
      <c r="C102" s="37">
        <v>156.29791890000001</v>
      </c>
      <c r="D102" s="37"/>
      <c r="E102" s="37"/>
      <c r="F102" s="37"/>
      <c r="G102" s="37"/>
      <c r="H102" s="37"/>
      <c r="I102" s="37"/>
      <c r="J102" s="37"/>
      <c r="K102" s="37"/>
      <c r="L102" s="37"/>
      <c r="M102" s="37"/>
      <c r="N102" s="37"/>
      <c r="O102" s="37"/>
      <c r="P102" s="37"/>
      <c r="Q102" s="37"/>
      <c r="R102" s="37"/>
      <c r="S102" s="37"/>
    </row>
    <row r="103" spans="1:19" x14ac:dyDescent="0.25">
      <c r="A103" s="37"/>
      <c r="B103" s="37" t="s">
        <v>971</v>
      </c>
      <c r="C103" s="37">
        <v>150.71350340000001</v>
      </c>
      <c r="D103" s="37"/>
      <c r="E103" s="37"/>
      <c r="F103" s="37"/>
      <c r="G103" s="37"/>
      <c r="H103" s="37"/>
      <c r="I103" s="37"/>
      <c r="J103" s="37"/>
      <c r="K103" s="37"/>
      <c r="L103" s="37"/>
      <c r="M103" s="37"/>
      <c r="N103" s="37"/>
      <c r="O103" s="37"/>
      <c r="P103" s="37"/>
      <c r="Q103" s="37"/>
      <c r="R103" s="37"/>
      <c r="S103" s="37"/>
    </row>
    <row r="104" spans="1:19" x14ac:dyDescent="0.25">
      <c r="A104" s="37"/>
      <c r="B104" s="37" t="s">
        <v>972</v>
      </c>
      <c r="C104" s="37">
        <v>133.18103579999999</v>
      </c>
      <c r="D104" s="37"/>
      <c r="E104" s="37"/>
      <c r="F104" s="37"/>
      <c r="G104" s="37"/>
      <c r="H104" s="37"/>
      <c r="I104" s="37"/>
      <c r="J104" s="37"/>
      <c r="K104" s="37"/>
      <c r="L104" s="37"/>
      <c r="M104" s="37"/>
      <c r="N104" s="37"/>
      <c r="O104" s="37"/>
      <c r="P104" s="37"/>
      <c r="Q104" s="37"/>
      <c r="R104" s="37"/>
      <c r="S104" s="37"/>
    </row>
    <row r="106" spans="1:19" x14ac:dyDescent="0.25">
      <c r="A106" s="2" t="s">
        <v>1168</v>
      </c>
    </row>
    <row r="107" spans="1:19" x14ac:dyDescent="0.25">
      <c r="A107" s="2"/>
      <c r="B107" s="37" t="s">
        <v>1169</v>
      </c>
      <c r="C107" s="37"/>
      <c r="D107" s="37"/>
      <c r="E107" s="37"/>
      <c r="F107" s="37"/>
      <c r="G107" s="37"/>
      <c r="H107" s="37"/>
      <c r="I107" s="37"/>
      <c r="J107" s="37"/>
      <c r="K107" s="37"/>
      <c r="L107" s="37"/>
      <c r="M107" s="37"/>
      <c r="N107" s="37"/>
      <c r="O107" s="37"/>
      <c r="P107" s="37"/>
      <c r="Q107" s="37"/>
      <c r="R107" s="37"/>
      <c r="S107" s="37"/>
    </row>
    <row r="108" spans="1:19" x14ac:dyDescent="0.25">
      <c r="B108" t="s">
        <v>196</v>
      </c>
      <c r="C108" t="s">
        <v>983</v>
      </c>
      <c r="D108" t="s">
        <v>575</v>
      </c>
      <c r="E108" t="s">
        <v>576</v>
      </c>
    </row>
    <row r="109" spans="1:19" x14ac:dyDescent="0.25">
      <c r="B109" s="37">
        <v>1990</v>
      </c>
      <c r="C109" s="7">
        <v>28.338813232900002</v>
      </c>
      <c r="D109" s="7">
        <v>21.276665213499999</v>
      </c>
      <c r="E109" s="7">
        <v>41.360422550899997</v>
      </c>
    </row>
    <row r="110" spans="1:19" x14ac:dyDescent="0.25">
      <c r="B110" s="37">
        <v>1991</v>
      </c>
      <c r="C110" s="7">
        <v>28.303151654499999</v>
      </c>
      <c r="D110" s="7">
        <v>21.133259883600001</v>
      </c>
      <c r="E110" s="7">
        <v>41.167278088899998</v>
      </c>
    </row>
    <row r="111" spans="1:19" x14ac:dyDescent="0.25">
      <c r="B111" s="37">
        <v>1992</v>
      </c>
      <c r="C111" s="7">
        <v>28.447787672799901</v>
      </c>
      <c r="D111" s="7">
        <v>21.237622752899998</v>
      </c>
      <c r="E111" s="7">
        <v>40.733955608599999</v>
      </c>
    </row>
    <row r="112" spans="1:19" x14ac:dyDescent="0.25">
      <c r="B112" s="37">
        <v>1993</v>
      </c>
      <c r="C112" s="7">
        <v>28.539902023900002</v>
      </c>
      <c r="D112" s="7">
        <v>21.389100855100001</v>
      </c>
      <c r="E112" s="7">
        <v>40.093134169000002</v>
      </c>
    </row>
    <row r="113" spans="2:5" x14ac:dyDescent="0.25">
      <c r="B113" s="37">
        <v>1994</v>
      </c>
      <c r="C113" s="7">
        <v>28.833530465700001</v>
      </c>
      <c r="D113" s="7">
        <v>21.673385832699999</v>
      </c>
      <c r="E113" s="7">
        <v>39.983408626500001</v>
      </c>
    </row>
    <row r="114" spans="2:5" x14ac:dyDescent="0.25">
      <c r="B114" s="37">
        <v>1995</v>
      </c>
      <c r="C114" s="7">
        <v>29.006265056099998</v>
      </c>
      <c r="D114" s="7">
        <v>21.666471276599999</v>
      </c>
      <c r="E114" s="7">
        <v>39.748551009899998</v>
      </c>
    </row>
    <row r="115" spans="2:5" x14ac:dyDescent="0.25">
      <c r="B115" s="37">
        <v>1996</v>
      </c>
      <c r="C115" s="7">
        <v>28.898526654499999</v>
      </c>
      <c r="D115" s="7">
        <v>21.504440627699999</v>
      </c>
      <c r="E115" s="7">
        <v>39.2770851394</v>
      </c>
    </row>
    <row r="116" spans="2:5" x14ac:dyDescent="0.25">
      <c r="B116" s="37">
        <v>1997</v>
      </c>
      <c r="C116" s="7">
        <v>28.917683059200002</v>
      </c>
      <c r="D116" s="7">
        <v>21.329770536599899</v>
      </c>
      <c r="E116" s="7">
        <v>38.349158094499998</v>
      </c>
    </row>
    <row r="117" spans="2:5" x14ac:dyDescent="0.25">
      <c r="B117" s="37">
        <v>1998</v>
      </c>
      <c r="C117" s="7">
        <v>28.701604157599999</v>
      </c>
      <c r="D117" s="7">
        <v>21.150636450899999</v>
      </c>
      <c r="E117" s="7">
        <v>37.665881924600001</v>
      </c>
    </row>
    <row r="118" spans="2:5" x14ac:dyDescent="0.25">
      <c r="B118" s="37">
        <v>1999</v>
      </c>
      <c r="C118" s="7">
        <v>28.140231608499999</v>
      </c>
      <c r="D118" s="7">
        <v>20.793554782800001</v>
      </c>
      <c r="E118" s="7">
        <v>36.709925723700003</v>
      </c>
    </row>
    <row r="119" spans="2:5" x14ac:dyDescent="0.25">
      <c r="B119" s="37">
        <v>2000</v>
      </c>
      <c r="C119" s="7">
        <v>27.915229186800001</v>
      </c>
      <c r="D119" s="7">
        <v>20.6421701728</v>
      </c>
      <c r="E119" s="7">
        <v>36.016692345199999</v>
      </c>
    </row>
    <row r="120" spans="2:5" x14ac:dyDescent="0.25">
      <c r="B120" s="37">
        <v>2001</v>
      </c>
      <c r="C120" s="7">
        <v>27.138465622399998</v>
      </c>
      <c r="D120" s="7">
        <v>20.043401829</v>
      </c>
      <c r="E120" s="7">
        <v>35.032161703999897</v>
      </c>
    </row>
    <row r="121" spans="2:5" x14ac:dyDescent="0.25">
      <c r="B121" s="37">
        <v>2002</v>
      </c>
      <c r="C121" s="7">
        <v>27.275688477199999</v>
      </c>
      <c r="D121" s="7">
        <v>20.1400895433</v>
      </c>
      <c r="E121" s="7">
        <v>34.865266673999997</v>
      </c>
    </row>
    <row r="122" spans="2:5" x14ac:dyDescent="0.25">
      <c r="B122" s="37">
        <v>2003</v>
      </c>
      <c r="C122" s="7">
        <v>27.2604573345</v>
      </c>
      <c r="D122" s="7">
        <v>20.089997906699999</v>
      </c>
      <c r="E122" s="7">
        <v>34.8595821304</v>
      </c>
    </row>
    <row r="123" spans="2:5" x14ac:dyDescent="0.25">
      <c r="B123" s="37">
        <v>2004</v>
      </c>
      <c r="C123" s="7">
        <v>26.898510988799998</v>
      </c>
      <c r="D123" s="7">
        <v>19.9464354853</v>
      </c>
      <c r="E123" s="7">
        <v>34.495731603700001</v>
      </c>
    </row>
    <row r="124" spans="2:5" x14ac:dyDescent="0.25">
      <c r="B124" s="37">
        <v>2005</v>
      </c>
      <c r="C124" s="7">
        <v>26.582299990300001</v>
      </c>
      <c r="D124" s="7">
        <v>19.8050744612</v>
      </c>
      <c r="E124" s="7">
        <v>34.222333133799999</v>
      </c>
    </row>
    <row r="125" spans="2:5" x14ac:dyDescent="0.25">
      <c r="B125" s="37">
        <v>2006</v>
      </c>
      <c r="C125" s="7">
        <v>26.2751149825</v>
      </c>
      <c r="D125" s="7">
        <v>19.9042216028</v>
      </c>
      <c r="E125" s="7">
        <v>34.209887229099998</v>
      </c>
    </row>
    <row r="126" spans="2:5" x14ac:dyDescent="0.25">
      <c r="B126" s="37">
        <v>2007</v>
      </c>
      <c r="C126" s="7">
        <v>25.866781</v>
      </c>
      <c r="D126" s="7">
        <v>19.765902835399999</v>
      </c>
      <c r="E126" s="7">
        <v>33.889520089399902</v>
      </c>
    </row>
    <row r="127" spans="2:5" x14ac:dyDescent="0.25">
      <c r="B127" s="37">
        <v>2008</v>
      </c>
      <c r="C127" s="7">
        <v>25.691514176199998</v>
      </c>
      <c r="D127" s="7">
        <v>19.735012033</v>
      </c>
      <c r="E127" s="7">
        <v>34.008916111700003</v>
      </c>
    </row>
    <row r="128" spans="2:5" x14ac:dyDescent="0.25">
      <c r="B128" s="37">
        <v>2009</v>
      </c>
      <c r="C128" s="7">
        <v>25.687978447999999</v>
      </c>
      <c r="D128" s="7">
        <v>19.868306862000001</v>
      </c>
      <c r="E128" s="7">
        <v>34.397729296400001</v>
      </c>
    </row>
    <row r="129" spans="2:5" x14ac:dyDescent="0.25">
      <c r="B129" s="37">
        <v>2010</v>
      </c>
      <c r="C129" s="7">
        <v>26.099900655700001</v>
      </c>
      <c r="D129" s="7">
        <v>20.2750490146</v>
      </c>
      <c r="E129" s="7">
        <v>35.243636504100003</v>
      </c>
    </row>
    <row r="130" spans="2:5" x14ac:dyDescent="0.25">
      <c r="B130" s="37">
        <v>2011</v>
      </c>
      <c r="C130" s="7">
        <v>25.540528392500001</v>
      </c>
      <c r="D130" s="7">
        <v>19.888811054799898</v>
      </c>
      <c r="E130" s="7">
        <v>34.796040185999999</v>
      </c>
    </row>
    <row r="131" spans="2:5" x14ac:dyDescent="0.25">
      <c r="B131" s="37">
        <v>2012</v>
      </c>
      <c r="C131" s="7">
        <v>24.9825020454</v>
      </c>
      <c r="D131" s="7">
        <v>19.615601563799999</v>
      </c>
      <c r="E131" s="7">
        <v>34.4442311281</v>
      </c>
    </row>
    <row r="132" spans="2:5" x14ac:dyDescent="0.25">
      <c r="B132" s="37">
        <v>2013</v>
      </c>
      <c r="C132" s="7">
        <v>24.3360357442</v>
      </c>
      <c r="D132" s="7">
        <v>19.4112045376</v>
      </c>
      <c r="E132" s="7">
        <v>33.847582881599998</v>
      </c>
    </row>
    <row r="133" spans="2:5" x14ac:dyDescent="0.25">
      <c r="B133" s="37">
        <v>2014</v>
      </c>
      <c r="C133" s="7">
        <v>23.757156975200001</v>
      </c>
      <c r="D133" s="7">
        <v>19.227403319</v>
      </c>
      <c r="E133" s="7">
        <v>33.274325525400002</v>
      </c>
    </row>
    <row r="134" spans="2:5" x14ac:dyDescent="0.25">
      <c r="B134" s="37">
        <v>2015</v>
      </c>
      <c r="C134" s="7">
        <v>23.399590103599898</v>
      </c>
      <c r="D134" s="7">
        <v>19.098798935400001</v>
      </c>
      <c r="E134" s="7">
        <v>32.8570936172</v>
      </c>
    </row>
    <row r="135" spans="2:5" x14ac:dyDescent="0.25">
      <c r="B135" s="37">
        <v>2016</v>
      </c>
      <c r="C135" s="7">
        <v>23.112929259200001</v>
      </c>
      <c r="D135" s="7">
        <v>18.868621451599999</v>
      </c>
      <c r="E135" s="7">
        <v>32.499574923200001</v>
      </c>
    </row>
    <row r="136" spans="2:5" x14ac:dyDescent="0.25">
      <c r="B136" s="37">
        <v>2017</v>
      </c>
      <c r="C136" s="7">
        <v>22.7223344244</v>
      </c>
      <c r="D136" s="7">
        <v>18.550079151999999</v>
      </c>
      <c r="E136" s="7">
        <v>31.902820736399999</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Population</vt:lpstr>
      <vt:lpstr>Sexual behavior</vt:lpstr>
      <vt:lpstr>Circumcision</vt:lpstr>
      <vt:lpstr>Fertility</vt:lpstr>
      <vt:lpstr>Mortality</vt:lpstr>
      <vt:lpstr>HPV prevalence</vt:lpstr>
      <vt:lpstr>CIN prevalence</vt:lpstr>
      <vt:lpstr>Screening</vt:lpstr>
      <vt:lpstr>CC prevalence</vt:lpstr>
      <vt:lpstr>HIV prevalence</vt:lpstr>
      <vt:lpstr>HIV mortality</vt:lpstr>
      <vt:lpstr>HIV testing </vt:lpstr>
      <vt:lpstr>ART</vt:lpstr>
      <vt:lpstr>CD4</vt:lpstr>
      <vt:lpstr>MTCT</vt:lpstr>
      <vt:lpstr>DALY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 Liu</dc:creator>
  <cp:lastModifiedBy>Gui Liu</cp:lastModifiedBy>
  <dcterms:created xsi:type="dcterms:W3CDTF">2017-11-08T19:44:01Z</dcterms:created>
  <dcterms:modified xsi:type="dcterms:W3CDTF">2020-08-07T18:56:11Z</dcterms:modified>
</cp:coreProperties>
</file>