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H:\HHCoM\Config\"/>
    </mc:Choice>
  </mc:AlternateContent>
  <xr:revisionPtr revIDLastSave="0" documentId="13_ncr:1_{FD6D54FB-71BF-4119-B263-57179906C19D}" xr6:coauthVersionLast="36" xr6:coauthVersionMax="36" xr10:uidLastSave="{00000000-0000-0000-0000-000000000000}"/>
  <bookViews>
    <workbookView xWindow="0" yWindow="0" windowWidth="28800" windowHeight="12225" tabRatio="521" xr2:uid="{00000000-000D-0000-FFFF-FFFF00000000}"/>
  </bookViews>
  <sheets>
    <sheet name="Sheet3"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H5" i="1"/>
  <c r="H4" i="1"/>
  <c r="H3" i="1"/>
  <c r="J4" i="1" l="1"/>
  <c r="J5" i="1"/>
  <c r="J6" i="1"/>
  <c r="J3" i="1"/>
  <c r="D3" i="1" l="1"/>
  <c r="F3" i="1"/>
  <c r="D4" i="1" s="1"/>
  <c r="E4" i="1" s="1"/>
  <c r="G3" i="1"/>
  <c r="F4" i="1"/>
  <c r="F5" i="1"/>
  <c r="E5" i="1" s="1"/>
  <c r="G5" i="1"/>
  <c r="F6" i="1"/>
  <c r="G6" i="1"/>
  <c r="E6" i="1" l="1"/>
  <c r="E3" i="1"/>
</calcChain>
</file>

<file path=xl/sharedStrings.xml><?xml version="1.0" encoding="utf-8"?>
<sst xmlns="http://schemas.openxmlformats.org/spreadsheetml/2006/main" count="25" uniqueCount="23">
  <si>
    <t>40-49</t>
  </si>
  <si>
    <t>30-39</t>
  </si>
  <si>
    <t>2017 SABSSM https://www.hsrcpress.ac.za/books/south-african-national-hiv-prevalence-incidence-behaviour-and-communication-survey-2017</t>
  </si>
  <si>
    <t>25-29</t>
  </si>
  <si>
    <t>2012 SABSSM http://www.hsrc.ac.za/uploads/pageContent/4565/SABSSM%20IV%20LEO%20final.pdf</t>
  </si>
  <si>
    <t>20-24</t>
  </si>
  <si>
    <t>2008 SABSSM http://www.hsrc.ac.za/en/research-outputs/view/5099</t>
  </si>
  <si>
    <t>15-19</t>
  </si>
  <si>
    <t>Prior to scale-up of VMMC targeting all men in 2010, older men can have prevalence circumcision, but only as a result of aging in with circumcision performed in youth. Starting in 2010, the model will check that the prevalence in the broad age group (e.g. 25-49) is at least the target. If it is below, new men will be circumcised, with all HIV-negative men in the age groups that comprise the broad age band having equal probabilty of being circumcised. In reality, younger men and those in high-risk groups may be more likely to be circumcised, but we'll keep it simple for now.</t>
  </si>
  <si>
    <t>DHS data</t>
  </si>
  <si>
    <t xml:space="preserve">Since the model currently only tracks circumcision in HIV-negative men, we will implement it assuming that the age-specific prevalence of circumcision reported in the dat(a /estimated for the overall population applies to HIV-negative men. This makes the assumption that HIV-positive men are no less likey to have been or to be newly circumcised as HIV-negative. In reality, VMMC programs aim to target HIV-negative men and the protection the procedure provides against HIV should mean that fewer men who are circumcised become infected than those who aren't, resulting in higher prevalence of circumcision in HIV-negative men. This reflects that is reported in DHS data. However, a study by Rosenberg et al. (https://journals.plos.org/plosone/article?id=10.1371/journal.pone.0201445) found that the prevalence of circumcision did not differ by HIV status, and in fact, a higher proportion of medically circumcised men were HIV-positive compared to HIV-negative men. This could reflect selection bias (HIV-positive men or men at high risk may be more likely to self-select for VMMC) and/or risk compensation among circumcised men. For simplicity, we will just assume that the prevalence observed in the general population corresponds to the prevalence among HIV-negative men, acknowledging that this may underestimate slightly. </t>
  </si>
  <si>
    <t>Explanation of implementation</t>
  </si>
  <si>
    <t>50+</t>
  </si>
  <si>
    <t>The numbers for older men in 2010 are estimated by extending the slope from 2012-2017 backwards. We assume that VMMC targeting older men started in 2010 concurrent with the South Africa VMMC program, and that prior to that circumcision was primarily conducted as a right of passage for youth  (Connolly et al. 2008 http://www.samj.org.za/index.php/samj/article/view/254/2144). Older men will still have prevalent circumision in years prior to 2010, but only as a result of aging into those ages with circumcision conducted in adolescence.</t>
  </si>
  <si>
    <t>25-49</t>
  </si>
  <si>
    <t>Higher in KZN overall 15-49 (37.2% vs. 29.9% overall)</t>
  </si>
  <si>
    <t xml:space="preserve">The numbers for youth pre-2008 are estimated. The decision to start circumcision in 1960 is somewhat arbitrary, but circumcision has been practiced for long time in South Africa (https://apps.who.int/iris/bitstream/handle/10665/43749/9789241596169_eng.pdf, https://www.rcpe.ac.uk/college/journal/ritual-male-circumcision-brief-history#text), and this will also seed some circumcision in older ages. I can’t, however, figure out how much of it was medical prior to the 2000s. In 2002, 42.8% of all circumcisions in SA were medical, though among blacks only 21.8% were (Connolly et al. 2008). In this paper (which reports on the 2002 SABSSM), 59% of men 15-24 were circumcised (medical or traditional), 21.6% of those 25-49 were, and 19.7% of those 50+ were. But in KZN only 20.1% were circumcised, and blacks were less likely to be medically circumcised. But the 2017 SABSSM has a plot showing circumcision rates over time from 2002, and the trend increases only slightly for medical fro 2002-2008. So I chose values that were in line with this trend and assumed a relatively steady trend back to 1960. The median age of circumcision depended on race/ethnicity, but ranged from 1-16 for hospital-based circumcision, such that we will assume that all new circumcisions were in youth under age 25 prior to the push for VMMC for HIV prevention in 2010. </t>
  </si>
  <si>
    <t>The numbers in black text are derived directly from the SABSSM surveys by multiplying the proportion reported to be circucmised in each age group by the proportion of those circumcised in that age who had it done medically. In 2017, they grouped ages 15-19 and 20-24 together. To estimate the proportions for each age group separately, we assume that the prevalence among 15-19 would be slightly higher than among 20-24 as reflected in the 2016 DHS data, but make it so that the average (unweighted) of the estimates for the two age groups matches what is reported. I didn't apply the exact ratio of the two prevalences as seen in the DHS as I don't believe the dynamics of this would work - the lines seem to cross too steeply, such that as 15-19 year-olds age into the 20-24 compartment the overall prevalence would be too high in 2017. The 2008 survey only reported on 15-18 year-olds. We estimate the value for 20-24 year olds by applying the relative rate for the prevalence of the 15-19 and 20-24 age groups in the 2012 SABSSM.</t>
  </si>
  <si>
    <t>In the 2017 and 2012 SABSSM surveys, the proportion of men medically circumcised (derived as the proportion circumcised overall multiplied by the proportion of those circumcised who had it done medically) in KZN is pretty similar to the overall (15.73% KZN vs. 18.6% overall in 2012, 30.6% KZN vs. 31.5% SA in 2017). Although in the 2016 DHS the proportion medically circumcised is higher in KZN (37.2% vs. 29.9% among all men 15-49), we will use the data provided for the overall country by age to be representative of KZN because province-specific estimates are not provided by age.</t>
  </si>
  <si>
    <t>Explanation of data derivation</t>
  </si>
  <si>
    <t>SABSSM data + (estimates in red)</t>
  </si>
  <si>
    <t>slope</t>
  </si>
  <si>
    <t>interim calculation assuming linear scale-up to 90-90-90 by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</si>
</sst>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0"/>
  </numFmts>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Helvetic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0" xfId="0" applyFont="1"/>
    <xf numFmtId="0" fontId="2" fillId="0" borderId="0" xfId="0" applyFont="1"/>
    <xf numFmtId="0" fontId="0" fillId="0" borderId="1" xfId="0" applyBorder="1"/>
    <xf numFmtId="0" fontId="0" fillId="2" borderId="1" xfId="0" applyFill="1" applyBorder="1"/>
    <xf numFmtId="9" fontId="1" fillId="2" borderId="1" xfId="0" applyNumberFormat="1" applyFont="1" applyFill="1" applyBorder="1"/>
    <xf numFmtId="0" fontId="1" fillId="2" borderId="1" xfId="0" applyFont="1" applyFill="1" applyBorder="1"/>
    <xf numFmtId="0" fontId="0" fillId="0" borderId="0" xfId="0" applyAlignment="1">
      <alignment wrapText="1"/>
    </xf>
    <xf numFmtId="0" fontId="1" fillId="0" borderId="0" xfId="0" applyFont="1" applyFill="1" applyBorder="1"/>
    <xf numFmtId="0" fontId="1" fillId="0" borderId="0" xfId="0" applyFont="1"/>
    <xf numFmtId="0" fontId="1" fillId="0" borderId="0" xfId="0" applyFont="1" applyAlignment="1">
      <alignment horizontal="left" wrapText="1"/>
    </xf>
    <xf numFmtId="16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inputs for trends in circumcision</a:t>
            </a:r>
            <a:r>
              <a:rPr lang="en-US" baseline="0"/>
              <a:t> over time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Sheet3!$B$3:$G$3</c:f>
              <c:numCache>
                <c:formatCode>0%</c:formatCode>
                <c:ptCount val="6"/>
                <c:pt idx="0">
                  <c:v>0.04</c:v>
                </c:pt>
                <c:pt idx="1">
                  <c:v>0.1</c:v>
                </c:pt>
                <c:pt idx="2" formatCode="General">
                  <c:v>0.11414200000000001</c:v>
                </c:pt>
                <c:pt idx="3" formatCode="General">
                  <c:v>0.142985</c:v>
                </c:pt>
                <c:pt idx="4" formatCode="General">
                  <c:v>0.17182800000000001</c:v>
                </c:pt>
                <c:pt idx="5" formatCode="General">
                  <c:v>0.45890399999999992</c:v>
                </c:pt>
              </c:numCache>
            </c:numRef>
          </c:val>
          <c:smooth val="0"/>
          <c:extLst>
            <c:ext xmlns:c16="http://schemas.microsoft.com/office/drawing/2014/chart" uri="{C3380CC4-5D6E-409C-BE32-E72D297353CC}">
              <c16:uniqueId val="{00000000-A388-9944-BE7B-FB5D368301D5}"/>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Sheet3!$B$4:$G$4</c:f>
              <c:numCache>
                <c:formatCode>0%</c:formatCode>
                <c:ptCount val="6"/>
                <c:pt idx="0">
                  <c:v>0.06</c:v>
                </c:pt>
                <c:pt idx="1">
                  <c:v>0.13</c:v>
                </c:pt>
                <c:pt idx="2" formatCode="General">
                  <c:v>0.16075855255255253</c:v>
                </c:pt>
                <c:pt idx="3" formatCode="General">
                  <c:v>0.20138127627627628</c:v>
                </c:pt>
                <c:pt idx="4" formatCode="General">
                  <c:v>0.242004</c:v>
                </c:pt>
                <c:pt idx="5" formatCode="General">
                  <c:v>0.42</c:v>
                </c:pt>
              </c:numCache>
            </c:numRef>
          </c:val>
          <c:smooth val="0"/>
          <c:extLst>
            <c:ext xmlns:c16="http://schemas.microsoft.com/office/drawing/2014/chart" uri="{C3380CC4-5D6E-409C-BE32-E72D297353CC}">
              <c16:uniqueId val="{00000001-A388-9944-BE7B-FB5D368301D5}"/>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Sheet3!$B$5:$G$5</c:f>
              <c:numCache>
                <c:formatCode>General</c:formatCode>
                <c:ptCount val="6"/>
                <c:pt idx="3" formatCode="0%">
                  <c:v>0.14041680000000001</c:v>
                </c:pt>
                <c:pt idx="4">
                  <c:v>0.19123200000000001</c:v>
                </c:pt>
                <c:pt idx="5">
                  <c:v>0.31827</c:v>
                </c:pt>
              </c:numCache>
            </c:numRef>
          </c:val>
          <c:smooth val="0"/>
          <c:extLst>
            <c:ext xmlns:c16="http://schemas.microsoft.com/office/drawing/2014/chart" uri="{C3380CC4-5D6E-409C-BE32-E72D297353CC}">
              <c16:uniqueId val="{00000002-A388-9944-BE7B-FB5D368301D5}"/>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Sheet3!$B$6:$G$6</c:f>
              <c:numCache>
                <c:formatCode>General</c:formatCode>
                <c:ptCount val="6"/>
                <c:pt idx="3" formatCode="0%">
                  <c:v>0.118188</c:v>
                </c:pt>
                <c:pt idx="4">
                  <c:v>0.14274000000000001</c:v>
                </c:pt>
                <c:pt idx="5">
                  <c:v>0.20412000000000002</c:v>
                </c:pt>
              </c:numCache>
            </c:numRef>
          </c:val>
          <c:smooth val="0"/>
          <c:extLst>
            <c:ext xmlns:c16="http://schemas.microsoft.com/office/drawing/2014/chart" uri="{C3380CC4-5D6E-409C-BE32-E72D297353CC}">
              <c16:uniqueId val="{00000003-A388-9944-BE7B-FB5D368301D5}"/>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10"/>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Model inputs for trends in </a:t>
            </a:r>
            <a:r>
              <a:rPr lang="en-US" sz="1600" b="0" i="0" baseline="0">
                <a:effectLst/>
              </a:rPr>
              <a:t>circumcision over time by age, zooming in to 2000+</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Sheet3!$C$3:$H$3</c:f>
              <c:numCache>
                <c:formatCode>General</c:formatCode>
                <c:ptCount val="6"/>
                <c:pt idx="0" formatCode="0%">
                  <c:v>0.1</c:v>
                </c:pt>
                <c:pt idx="1">
                  <c:v>0.11414200000000001</c:v>
                </c:pt>
                <c:pt idx="2">
                  <c:v>0.142985</c:v>
                </c:pt>
                <c:pt idx="3">
                  <c:v>0.17182800000000001</c:v>
                </c:pt>
                <c:pt idx="4">
                  <c:v>0.45890399999999992</c:v>
                </c:pt>
                <c:pt idx="5" formatCode="0.000000">
                  <c:v>0.51454153846153838</c:v>
                </c:pt>
              </c:numCache>
            </c:numRef>
          </c:val>
          <c:smooth val="0"/>
          <c:extLst>
            <c:ext xmlns:c16="http://schemas.microsoft.com/office/drawing/2014/chart" uri="{C3380CC4-5D6E-409C-BE32-E72D297353CC}">
              <c16:uniqueId val="{00000000-48EA-A743-8F82-A30FEB67909F}"/>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Sheet3!$C$4:$H$4</c:f>
              <c:numCache>
                <c:formatCode>General</c:formatCode>
                <c:ptCount val="6"/>
                <c:pt idx="0" formatCode="0%">
                  <c:v>0.13</c:v>
                </c:pt>
                <c:pt idx="1">
                  <c:v>0.16075855255255253</c:v>
                </c:pt>
                <c:pt idx="2">
                  <c:v>0.20138127627627628</c:v>
                </c:pt>
                <c:pt idx="3">
                  <c:v>0.242004</c:v>
                </c:pt>
                <c:pt idx="4">
                  <c:v>0.42</c:v>
                </c:pt>
                <c:pt idx="5" formatCode="0.000000">
                  <c:v>0.48461538461538461</c:v>
                </c:pt>
              </c:numCache>
            </c:numRef>
          </c:val>
          <c:smooth val="0"/>
          <c:extLst>
            <c:ext xmlns:c16="http://schemas.microsoft.com/office/drawing/2014/chart" uri="{C3380CC4-5D6E-409C-BE32-E72D297353CC}">
              <c16:uniqueId val="{00000001-48EA-A743-8F82-A30FEB67909F}"/>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Sheet3!$C$5:$H$5</c:f>
              <c:numCache>
                <c:formatCode>General</c:formatCode>
                <c:ptCount val="6"/>
                <c:pt idx="2" formatCode="0%">
                  <c:v>0.14041680000000001</c:v>
                </c:pt>
                <c:pt idx="3">
                  <c:v>0.19123200000000001</c:v>
                </c:pt>
                <c:pt idx="4">
                  <c:v>0.31827</c:v>
                </c:pt>
                <c:pt idx="5" formatCode="0.000000">
                  <c:v>0.40636153846153844</c:v>
                </c:pt>
              </c:numCache>
            </c:numRef>
          </c:val>
          <c:smooth val="0"/>
          <c:extLst>
            <c:ext xmlns:c16="http://schemas.microsoft.com/office/drawing/2014/chart" uri="{C3380CC4-5D6E-409C-BE32-E72D297353CC}">
              <c16:uniqueId val="{00000002-48EA-A743-8F82-A30FEB67909F}"/>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Sheet3!$C$6:$H$6</c:f>
              <c:numCache>
                <c:formatCode>General</c:formatCode>
                <c:ptCount val="6"/>
                <c:pt idx="2" formatCode="0%">
                  <c:v>0.118188</c:v>
                </c:pt>
                <c:pt idx="3">
                  <c:v>0.14274000000000001</c:v>
                </c:pt>
                <c:pt idx="4">
                  <c:v>0.20412000000000002</c:v>
                </c:pt>
                <c:pt idx="5" formatCode="0.000000">
                  <c:v>0.31855384615384619</c:v>
                </c:pt>
              </c:numCache>
            </c:numRef>
          </c:val>
          <c:smooth val="0"/>
          <c:extLst>
            <c:ext xmlns:c16="http://schemas.microsoft.com/office/drawing/2014/chart" uri="{C3380CC4-5D6E-409C-BE32-E72D297353CC}">
              <c16:uniqueId val="{00000003-48EA-A743-8F82-A30FEB67909F}"/>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4"/>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182511</xdr:colOff>
      <xdr:row>6</xdr:row>
      <xdr:rowOff>62134</xdr:rowOff>
    </xdr:from>
    <xdr:to>
      <xdr:col>7</xdr:col>
      <xdr:colOff>627012</xdr:colOff>
      <xdr:row>19</xdr:row>
      <xdr:rowOff>154209</xdr:rowOff>
    </xdr:to>
    <xdr:graphicFrame macro="">
      <xdr:nvGraphicFramePr>
        <xdr:cNvPr id="2" name="Chart 1">
          <a:extLst>
            <a:ext uri="{FF2B5EF4-FFF2-40B4-BE49-F238E27FC236}">
              <a16:creationId xmlns:a16="http://schemas.microsoft.com/office/drawing/2014/main" id="{2B51C1CF-AA79-944B-9CDB-64B4E2BC3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188723</xdr:colOff>
      <xdr:row>19</xdr:row>
      <xdr:rowOff>197327</xdr:rowOff>
    </xdr:from>
    <xdr:to>
      <xdr:col>7</xdr:col>
      <xdr:colOff>633224</xdr:colOff>
      <xdr:row>33</xdr:row>
      <xdr:rowOff>92552</xdr:rowOff>
    </xdr:to>
    <xdr:graphicFrame macro="">
      <xdr:nvGraphicFramePr>
        <xdr:cNvPr id="3" name="Chart 2">
          <a:extLst>
            <a:ext uri="{FF2B5EF4-FFF2-40B4-BE49-F238E27FC236}">
              <a16:creationId xmlns:a16="http://schemas.microsoft.com/office/drawing/2014/main" id="{3E70B39C-3F2D-D448-9E42-A75A4A856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
  <sheetViews>
    <sheetView tabSelected="1" zoomScale="75" workbookViewId="0">
      <selection activeCell="M28" sqref="M28"/>
    </sheetView>
  </sheetViews>
  <sheetFormatPr defaultColWidth="10.625" defaultRowHeight="15.75" x14ac:dyDescent="0.25"/>
  <cols>
    <col min="9" max="9" width="12" customWidth="1"/>
  </cols>
  <sheetData>
    <row r="1" spans="1:14" x14ac:dyDescent="0.25">
      <c r="A1" s="2" t="s">
        <v>20</v>
      </c>
      <c r="K1" s="2" t="s">
        <v>19</v>
      </c>
    </row>
    <row r="2" spans="1:14" x14ac:dyDescent="0.25">
      <c r="A2" s="3"/>
      <c r="B2" s="4">
        <v>1960</v>
      </c>
      <c r="C2" s="4">
        <v>2000</v>
      </c>
      <c r="D2" s="4">
        <v>2008</v>
      </c>
      <c r="E2" s="4">
        <v>2010</v>
      </c>
      <c r="F2" s="4">
        <v>2012</v>
      </c>
      <c r="G2" s="4">
        <v>2017</v>
      </c>
      <c r="H2" s="8">
        <v>2020</v>
      </c>
      <c r="I2" s="8">
        <v>2030</v>
      </c>
      <c r="J2" s="9" t="s">
        <v>21</v>
      </c>
      <c r="K2" t="s">
        <v>18</v>
      </c>
    </row>
    <row r="3" spans="1:14" x14ac:dyDescent="0.25">
      <c r="A3" s="3" t="s">
        <v>7</v>
      </c>
      <c r="B3" s="5">
        <v>0.04</v>
      </c>
      <c r="C3" s="5">
        <v>0.1</v>
      </c>
      <c r="D3" s="4">
        <f>0.217*(0.526)</f>
        <v>0.11414200000000001</v>
      </c>
      <c r="E3" s="6">
        <f>D3+ (F3-D3)*0.5</f>
        <v>0.142985</v>
      </c>
      <c r="F3" s="4">
        <f>0.516*0.333</f>
        <v>0.17182800000000001</v>
      </c>
      <c r="G3" s="6">
        <f>((0.702*0.626)*2)-G4</f>
        <v>0.45890399999999992</v>
      </c>
      <c r="H3" s="11">
        <f>G3+(H$2-G$2)*J3</f>
        <v>0.51454153846153838</v>
      </c>
      <c r="I3" s="9">
        <v>0.7</v>
      </c>
      <c r="J3" s="9">
        <f>(I3-G3)/((I$2-1)-(G$2-1))</f>
        <v>1.8545846153846156E-2</v>
      </c>
      <c r="K3" t="s">
        <v>17</v>
      </c>
    </row>
    <row r="4" spans="1:14" x14ac:dyDescent="0.25">
      <c r="A4" s="3" t="s">
        <v>5</v>
      </c>
      <c r="B4" s="5">
        <v>0.06</v>
      </c>
      <c r="C4" s="5">
        <v>0.13</v>
      </c>
      <c r="D4" s="6">
        <f>(D3/F3)*F4</f>
        <v>0.16075855255255253</v>
      </c>
      <c r="E4" s="6">
        <f>D4+ (F4-D4)*0.5</f>
        <v>0.20138127627627628</v>
      </c>
      <c r="F4" s="4">
        <f>0.516*0.469</f>
        <v>0.242004</v>
      </c>
      <c r="G4" s="6">
        <v>0.42</v>
      </c>
      <c r="H4" s="11">
        <f t="shared" ref="H4:H6" si="0">G4+(H$2-G$2)*J4</f>
        <v>0.48461538461538461</v>
      </c>
      <c r="I4" s="9">
        <v>0.7</v>
      </c>
      <c r="J4" s="9">
        <f>(I4-G4)/((I$2-1)-(G$2-1))</f>
        <v>2.1538461538461538E-2</v>
      </c>
      <c r="K4" t="s">
        <v>16</v>
      </c>
      <c r="N4" t="s">
        <v>15</v>
      </c>
    </row>
    <row r="5" spans="1:14" x14ac:dyDescent="0.25">
      <c r="A5" s="3" t="s">
        <v>14</v>
      </c>
      <c r="B5" s="4"/>
      <c r="C5" s="4"/>
      <c r="D5" s="4"/>
      <c r="E5" s="5">
        <f>F5-((G5-F5)/5)*2</f>
        <v>0.14041680000000001</v>
      </c>
      <c r="F5" s="4">
        <f>0.384*0.498</f>
        <v>0.19123200000000001</v>
      </c>
      <c r="G5" s="4">
        <f>0.618*0.515</f>
        <v>0.31827</v>
      </c>
      <c r="H5" s="11">
        <f t="shared" si="0"/>
        <v>0.40636153846153844</v>
      </c>
      <c r="I5" s="9">
        <v>0.7</v>
      </c>
      <c r="J5" s="9">
        <f>(I5-G5)/((I$2-1)-(G$2-1))</f>
        <v>2.936384615384615E-2</v>
      </c>
      <c r="K5" t="s">
        <v>13</v>
      </c>
    </row>
    <row r="6" spans="1:14" x14ac:dyDescent="0.25">
      <c r="A6" s="3" t="s">
        <v>12</v>
      </c>
      <c r="B6" s="4"/>
      <c r="C6" s="4"/>
      <c r="D6" s="4"/>
      <c r="E6" s="5">
        <f>F6-((G6-F6)/5)*2</f>
        <v>0.118188</v>
      </c>
      <c r="F6" s="4">
        <f>0.305*0.468</f>
        <v>0.14274000000000001</v>
      </c>
      <c r="G6" s="4">
        <f>0.54*0.378</f>
        <v>0.20412000000000002</v>
      </c>
      <c r="H6" s="11">
        <f t="shared" si="0"/>
        <v>0.31855384615384619</v>
      </c>
      <c r="I6" s="9">
        <v>0.7</v>
      </c>
      <c r="J6" s="9">
        <f>(I6-G6)/((I$2-1)-(G$2-1))</f>
        <v>3.8144615384615381E-2</v>
      </c>
      <c r="K6" s="2" t="s">
        <v>11</v>
      </c>
    </row>
    <row r="7" spans="1:14" ht="15.75" customHeight="1" x14ac:dyDescent="0.25">
      <c r="I7" s="10" t="s">
        <v>22</v>
      </c>
      <c r="K7" t="s">
        <v>10</v>
      </c>
    </row>
    <row r="8" spans="1:14" x14ac:dyDescent="0.25">
      <c r="A8" s="2" t="s">
        <v>9</v>
      </c>
      <c r="I8" s="10"/>
      <c r="K8" t="s">
        <v>8</v>
      </c>
    </row>
    <row r="9" spans="1:14" x14ac:dyDescent="0.25">
      <c r="B9">
        <v>2016</v>
      </c>
      <c r="I9" s="10"/>
    </row>
    <row r="10" spans="1:14" x14ac:dyDescent="0.25">
      <c r="A10" t="s">
        <v>7</v>
      </c>
      <c r="B10">
        <v>0.41199999999999998</v>
      </c>
      <c r="I10" s="10"/>
      <c r="K10" t="s">
        <v>6</v>
      </c>
    </row>
    <row r="11" spans="1:14" x14ac:dyDescent="0.25">
      <c r="A11" t="s">
        <v>5</v>
      </c>
      <c r="B11">
        <v>0.35799999999999998</v>
      </c>
      <c r="E11" s="1"/>
      <c r="I11" s="10"/>
      <c r="K11" t="s">
        <v>4</v>
      </c>
    </row>
    <row r="12" spans="1:14" x14ac:dyDescent="0.25">
      <c r="A12" t="s">
        <v>3</v>
      </c>
      <c r="B12">
        <v>0.34399999999999997</v>
      </c>
      <c r="E12" s="1"/>
      <c r="I12" s="10"/>
      <c r="K12" t="s">
        <v>2</v>
      </c>
    </row>
    <row r="13" spans="1:14" x14ac:dyDescent="0.25">
      <c r="A13" t="s">
        <v>1</v>
      </c>
      <c r="B13">
        <v>0.215</v>
      </c>
      <c r="E13" s="1"/>
      <c r="I13" s="7"/>
    </row>
    <row r="14" spans="1:14" x14ac:dyDescent="0.25">
      <c r="A14" t="s">
        <v>0</v>
      </c>
      <c r="B14">
        <v>0.20499999999999999</v>
      </c>
      <c r="I14" s="7"/>
    </row>
  </sheetData>
  <mergeCells count="1">
    <mergeCell ref="I7:I1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Rao</dc:creator>
  <cp:lastModifiedBy>Cara Bayer</cp:lastModifiedBy>
  <dcterms:created xsi:type="dcterms:W3CDTF">2020-04-10T05:55:27Z</dcterms:created>
  <dcterms:modified xsi:type="dcterms:W3CDTF">2020-12-10T23:23:58Z</dcterms:modified>
</cp:coreProperties>
</file>