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HHCoM\Config\"/>
    </mc:Choice>
  </mc:AlternateContent>
  <bookViews>
    <workbookView xWindow="0" yWindow="0" windowWidth="15840" windowHeight="8190"/>
  </bookViews>
  <sheets>
    <sheet name="Demograph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7" i="1" l="1"/>
  <c r="G138" i="1"/>
  <c r="G139" i="1"/>
  <c r="G140" i="1"/>
  <c r="G141" i="1"/>
  <c r="G142" i="1"/>
  <c r="F137" i="1"/>
  <c r="F138" i="1"/>
  <c r="F139" i="1"/>
  <c r="F140" i="1"/>
  <c r="F141" i="1"/>
  <c r="F142" i="1"/>
  <c r="E137" i="1"/>
  <c r="E138" i="1"/>
  <c r="E139" i="1"/>
  <c r="E140" i="1"/>
  <c r="E141" i="1"/>
  <c r="E142" i="1"/>
  <c r="D137" i="1"/>
  <c r="D138" i="1"/>
  <c r="D139" i="1"/>
  <c r="D140" i="1"/>
  <c r="D141" i="1"/>
  <c r="D142" i="1"/>
  <c r="C137" i="1"/>
  <c r="C138" i="1"/>
  <c r="C139" i="1"/>
  <c r="C140" i="1"/>
  <c r="C141" i="1"/>
  <c r="C142" i="1"/>
  <c r="C136" i="1"/>
  <c r="D136" i="1"/>
  <c r="E136" i="1"/>
  <c r="F136" i="1"/>
  <c r="G136" i="1"/>
  <c r="B137" i="1"/>
  <c r="B138" i="1"/>
  <c r="B139" i="1"/>
  <c r="B140" i="1"/>
  <c r="B141" i="1"/>
  <c r="B142" i="1"/>
  <c r="B136" i="1"/>
  <c r="L85" i="1" l="1"/>
  <c r="K85" i="1"/>
  <c r="J85" i="1"/>
  <c r="O137" i="1" l="1"/>
  <c r="O138" i="1"/>
  <c r="O139" i="1"/>
  <c r="O140" i="1"/>
  <c r="O141" i="1"/>
  <c r="O142" i="1"/>
  <c r="N137" i="1"/>
  <c r="N138" i="1"/>
  <c r="N139" i="1"/>
  <c r="N149" i="1" s="1"/>
  <c r="N140" i="1"/>
  <c r="N141" i="1"/>
  <c r="N142" i="1"/>
  <c r="M137" i="1"/>
  <c r="M149" i="1" s="1"/>
  <c r="M138" i="1"/>
  <c r="M139" i="1"/>
  <c r="M140" i="1"/>
  <c r="M141" i="1"/>
  <c r="M142" i="1"/>
  <c r="L137" i="1"/>
  <c r="L149" i="1" s="1"/>
  <c r="L138" i="1"/>
  <c r="L139" i="1"/>
  <c r="L140" i="1"/>
  <c r="L141" i="1"/>
  <c r="L142" i="1"/>
  <c r="K137" i="1"/>
  <c r="K149" i="1" s="1"/>
  <c r="K138" i="1"/>
  <c r="K139" i="1"/>
  <c r="K140" i="1"/>
  <c r="K141" i="1"/>
  <c r="K142" i="1"/>
  <c r="J137" i="1"/>
  <c r="J138" i="1"/>
  <c r="J139" i="1"/>
  <c r="J140" i="1"/>
  <c r="J141" i="1"/>
  <c r="J142" i="1"/>
  <c r="K136" i="1"/>
  <c r="L136" i="1"/>
  <c r="M136" i="1"/>
  <c r="N136" i="1"/>
  <c r="O136" i="1"/>
  <c r="J136" i="1"/>
  <c r="O149" i="1"/>
  <c r="J149" i="1" l="1"/>
  <c r="L215" i="1"/>
  <c r="K215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01" i="1"/>
  <c r="I199" i="1"/>
  <c r="J199" i="1"/>
  <c r="I200" i="1"/>
  <c r="J200" i="1"/>
  <c r="I201" i="1"/>
  <c r="J201" i="1"/>
  <c r="I202" i="1"/>
  <c r="J202" i="1"/>
  <c r="I203" i="1"/>
  <c r="J203" i="1"/>
  <c r="I204" i="1"/>
  <c r="J204" i="1"/>
  <c r="I205" i="1"/>
  <c r="J205" i="1"/>
  <c r="I206" i="1"/>
  <c r="J206" i="1"/>
  <c r="I207" i="1"/>
  <c r="J207" i="1"/>
  <c r="I208" i="1"/>
  <c r="J208" i="1"/>
  <c r="I209" i="1"/>
  <c r="J209" i="1"/>
  <c r="I210" i="1"/>
  <c r="J210" i="1"/>
  <c r="I211" i="1"/>
  <c r="J211" i="1"/>
  <c r="I212" i="1"/>
  <c r="J212" i="1"/>
  <c r="I213" i="1"/>
  <c r="J213" i="1"/>
  <c r="I214" i="1"/>
  <c r="J214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199" i="1"/>
  <c r="N176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62" i="1"/>
  <c r="K160" i="1"/>
  <c r="L160" i="1"/>
  <c r="K161" i="1"/>
  <c r="L161" i="1"/>
  <c r="K162" i="1"/>
  <c r="L162" i="1"/>
  <c r="K163" i="1"/>
  <c r="L163" i="1"/>
  <c r="K164" i="1"/>
  <c r="L164" i="1"/>
  <c r="K165" i="1"/>
  <c r="L165" i="1"/>
  <c r="K166" i="1"/>
  <c r="L166" i="1"/>
  <c r="K167" i="1"/>
  <c r="L167" i="1"/>
  <c r="K168" i="1"/>
  <c r="L168" i="1"/>
  <c r="K169" i="1"/>
  <c r="L169" i="1"/>
  <c r="K170" i="1"/>
  <c r="L170" i="1"/>
  <c r="K171" i="1"/>
  <c r="L171" i="1"/>
  <c r="K172" i="1"/>
  <c r="L172" i="1"/>
  <c r="K173" i="1"/>
  <c r="L173" i="1"/>
  <c r="K174" i="1"/>
  <c r="L174" i="1"/>
  <c r="K175" i="1"/>
  <c r="L175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60" i="1"/>
  <c r="H198" i="1"/>
  <c r="H175" i="1"/>
  <c r="E160" i="1" l="1"/>
  <c r="B239" i="1" l="1"/>
  <c r="D224" i="1" s="1"/>
  <c r="D222" i="1" s="1"/>
  <c r="B238" i="1"/>
  <c r="D204" i="1" s="1"/>
  <c r="D202" i="1" l="1"/>
  <c r="D203" i="1"/>
  <c r="D201" i="1" s="1"/>
  <c r="D221" i="1"/>
  <c r="D223" i="1"/>
  <c r="C214" i="1"/>
  <c r="D214" i="1" s="1"/>
  <c r="C213" i="1"/>
  <c r="D213" i="1" s="1"/>
  <c r="C212" i="1"/>
  <c r="D212" i="1" s="1"/>
  <c r="C211" i="1"/>
  <c r="D211" i="1" s="1"/>
  <c r="C210" i="1"/>
  <c r="D210" i="1" s="1"/>
  <c r="C209" i="1"/>
  <c r="D209" i="1" s="1"/>
  <c r="C208" i="1"/>
  <c r="D208" i="1" s="1"/>
  <c r="C207" i="1"/>
  <c r="D207" i="1" s="1"/>
  <c r="C206" i="1"/>
  <c r="D206" i="1" s="1"/>
  <c r="C205" i="1"/>
  <c r="D205" i="1" s="1"/>
  <c r="C238" i="1"/>
  <c r="C239" i="1"/>
  <c r="B160" i="1"/>
  <c r="C160" i="1"/>
  <c r="D160" i="1"/>
  <c r="F160" i="1"/>
  <c r="G160" i="1"/>
  <c r="B161" i="1"/>
  <c r="C161" i="1"/>
  <c r="D161" i="1"/>
  <c r="E161" i="1"/>
  <c r="F161" i="1"/>
  <c r="G161" i="1"/>
  <c r="D239" i="1" l="1"/>
  <c r="F224" i="1" s="1"/>
  <c r="E224" i="1"/>
  <c r="D238" i="1"/>
  <c r="F204" i="1" s="1"/>
  <c r="E204" i="1"/>
  <c r="C149" i="1"/>
  <c r="D149" i="1"/>
  <c r="E149" i="1"/>
  <c r="F149" i="1"/>
  <c r="G149" i="1"/>
  <c r="B149" i="1"/>
  <c r="B72" i="1"/>
  <c r="E71" i="1"/>
  <c r="B71" i="1"/>
  <c r="E221" i="1" l="1"/>
  <c r="E222" i="1"/>
  <c r="E223" i="1"/>
  <c r="F221" i="1"/>
  <c r="F223" i="1"/>
  <c r="F222" i="1"/>
  <c r="E209" i="1"/>
  <c r="E210" i="1"/>
  <c r="E206" i="1"/>
  <c r="E212" i="1"/>
  <c r="E208" i="1"/>
  <c r="E211" i="1"/>
  <c r="E213" i="1"/>
  <c r="E205" i="1"/>
  <c r="E207" i="1"/>
  <c r="E203" i="1"/>
  <c r="E201" i="1" s="1"/>
  <c r="E214" i="1"/>
  <c r="E202" i="1"/>
  <c r="F207" i="1"/>
  <c r="F208" i="1"/>
  <c r="F209" i="1"/>
  <c r="F210" i="1"/>
  <c r="F211" i="1"/>
  <c r="F212" i="1"/>
  <c r="F213" i="1"/>
  <c r="F214" i="1"/>
  <c r="F205" i="1"/>
  <c r="F202" i="1"/>
  <c r="F203" i="1"/>
  <c r="F201" i="1" s="1"/>
  <c r="F206" i="1"/>
  <c r="C128" i="1"/>
  <c r="D128" i="1"/>
  <c r="E128" i="1"/>
  <c r="F128" i="1"/>
  <c r="G128" i="1"/>
  <c r="B128" i="1"/>
  <c r="C64" i="1" l="1"/>
  <c r="C65" i="1"/>
  <c r="C66" i="1"/>
  <c r="C67" i="1"/>
  <c r="C68" i="1"/>
  <c r="C69" i="1"/>
  <c r="C63" i="1"/>
  <c r="F60" i="1"/>
  <c r="F71" i="1" s="1"/>
  <c r="F62" i="1"/>
  <c r="G62" i="1" s="1"/>
  <c r="C71" i="1" l="1"/>
  <c r="C225" i="1"/>
  <c r="C226" i="1"/>
  <c r="C227" i="1"/>
  <c r="C228" i="1"/>
  <c r="C229" i="1"/>
  <c r="C230" i="1"/>
  <c r="C231" i="1"/>
  <c r="C232" i="1"/>
  <c r="C233" i="1"/>
  <c r="C234" i="1"/>
  <c r="D230" i="1" l="1"/>
  <c r="E230" i="1"/>
  <c r="F230" i="1"/>
  <c r="D228" i="1"/>
  <c r="E228" i="1"/>
  <c r="F228" i="1"/>
  <c r="D227" i="1"/>
  <c r="F227" i="1"/>
  <c r="E227" i="1"/>
  <c r="D226" i="1"/>
  <c r="E226" i="1"/>
  <c r="F226" i="1"/>
  <c r="D231" i="1"/>
  <c r="E231" i="1"/>
  <c r="F231" i="1"/>
  <c r="D229" i="1"/>
  <c r="E229" i="1"/>
  <c r="F229" i="1"/>
  <c r="D234" i="1"/>
  <c r="E234" i="1"/>
  <c r="F234" i="1"/>
  <c r="D233" i="1"/>
  <c r="E233" i="1"/>
  <c r="F233" i="1"/>
  <c r="D225" i="1"/>
  <c r="E225" i="1"/>
  <c r="F225" i="1"/>
  <c r="D232" i="1"/>
  <c r="E232" i="1"/>
  <c r="F232" i="1"/>
  <c r="B18" i="1"/>
  <c r="B19" i="1"/>
  <c r="B20" i="1"/>
  <c r="B21" i="1"/>
  <c r="C44" i="1"/>
  <c r="C43" i="1"/>
  <c r="C42" i="1"/>
  <c r="C41" i="1"/>
  <c r="C18" i="1"/>
  <c r="C19" i="1"/>
  <c r="C20" i="1"/>
  <c r="C21" i="1"/>
  <c r="C24" i="1"/>
  <c r="B24" i="1"/>
  <c r="D56" i="1"/>
  <c r="D71" i="1" s="1"/>
  <c r="G55" i="1"/>
  <c r="G56" i="1"/>
  <c r="G54" i="1"/>
  <c r="K115" i="1"/>
  <c r="L115" i="1"/>
  <c r="M115" i="1"/>
  <c r="N115" i="1"/>
  <c r="J115" i="1"/>
  <c r="B22" i="1" l="1"/>
  <c r="C22" i="1"/>
  <c r="B29" i="1" a="1"/>
  <c r="G71" i="1"/>
  <c r="D22" i="1" l="1"/>
  <c r="B30" i="1"/>
  <c r="B38" i="1"/>
  <c r="B43" i="1"/>
  <c r="B39" i="1"/>
  <c r="B31" i="1"/>
  <c r="B32" i="1"/>
  <c r="B40" i="1"/>
  <c r="B44" i="1"/>
  <c r="B33" i="1"/>
  <c r="B34" i="1"/>
  <c r="B41" i="1"/>
  <c r="B35" i="1"/>
  <c r="B36" i="1"/>
  <c r="B42" i="1"/>
  <c r="B29" i="1"/>
  <c r="B37" i="1"/>
</calcChain>
</file>

<file path=xl/sharedStrings.xml><?xml version="1.0" encoding="utf-8"?>
<sst xmlns="http://schemas.openxmlformats.org/spreadsheetml/2006/main" count="291" uniqueCount="105">
  <si>
    <t>Male</t>
  </si>
  <si>
    <t>Female</t>
  </si>
  <si>
    <t>Age Group</t>
  </si>
  <si>
    <r>
      <t xml:space="preserve">Male Background Mortality </t>
    </r>
    <r>
      <rPr>
        <sz val="12"/>
        <color theme="1"/>
        <rFont val="Times New Roman"/>
        <family val="1"/>
      </rPr>
      <t>[21]</t>
    </r>
  </si>
  <si>
    <r>
      <t>Female Background Mortality</t>
    </r>
    <r>
      <rPr>
        <sz val="12"/>
        <color theme="1"/>
        <rFont val="Times New Roman"/>
        <family val="1"/>
      </rPr>
      <t xml:space="preserve"> [21]</t>
    </r>
  </si>
  <si>
    <r>
      <t xml:space="preserve">Partnerships per year </t>
    </r>
    <r>
      <rPr>
        <sz val="12"/>
        <color theme="1"/>
        <rFont val="Times New Roman"/>
        <family val="1"/>
      </rPr>
      <t>[26]</t>
    </r>
  </si>
  <si>
    <t>Low-Risk</t>
  </si>
  <si>
    <t>Moderate-Risk</t>
  </si>
  <si>
    <t>High-Risk</t>
  </si>
  <si>
    <t xml:space="preserve"> (age)</t>
  </si>
  <si>
    <t xml:space="preserve"> (sexual risk)</t>
  </si>
  <si>
    <t>0 – 4</t>
  </si>
  <si>
    <t>&gt;350</t>
  </si>
  <si>
    <t>200-350</t>
  </si>
  <si>
    <t>5 – 9</t>
  </si>
  <si>
    <r>
      <t>RR=0.42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[13, 23]</t>
    </r>
  </si>
  <si>
    <t>RR=0.42 [13, 23]</t>
  </si>
  <si>
    <t>10 – 14</t>
  </si>
  <si>
    <t>15 – 19</t>
  </si>
  <si>
    <t>20 – 24</t>
  </si>
  <si>
    <t>25 – 29</t>
  </si>
  <si>
    <t>30 – 39</t>
  </si>
  <si>
    <t>35 – 39</t>
  </si>
  <si>
    <t>30 – 34</t>
  </si>
  <si>
    <t>40 – 44</t>
  </si>
  <si>
    <t>45 – 49</t>
  </si>
  <si>
    <t>50 – 54</t>
  </si>
  <si>
    <t>55 – 59</t>
  </si>
  <si>
    <t>Total</t>
  </si>
  <si>
    <t>Year</t>
  </si>
  <si>
    <t>5 - 9</t>
  </si>
  <si>
    <t>0 - 4</t>
  </si>
  <si>
    <t>Multiplier</t>
  </si>
  <si>
    <t>Acute</t>
  </si>
  <si>
    <t>CD4 &gt; 500</t>
  </si>
  <si>
    <t>&gt; 350</t>
  </si>
  <si>
    <t>&lt;200</t>
  </si>
  <si>
    <t>http://www.demographic-research.org/volumes/vol21/11/21-11.pdf</t>
  </si>
  <si>
    <t>Peak Coital Acts per Partnership</t>
  </si>
  <si>
    <t>10 -14</t>
  </si>
  <si>
    <t>15 - 19</t>
  </si>
  <si>
    <t xml:space="preserve">20 -24 </t>
  </si>
  <si>
    <t>25-29</t>
  </si>
  <si>
    <t>30 - 34</t>
  </si>
  <si>
    <t>35 - 39</t>
  </si>
  <si>
    <t>40 - 44</t>
  </si>
  <si>
    <t>45 - 49</t>
  </si>
  <si>
    <t>50 -54</t>
  </si>
  <si>
    <t>55 - 59</t>
  </si>
  <si>
    <t>60 - 64</t>
  </si>
  <si>
    <t>65- 69</t>
  </si>
  <si>
    <t>70 - 74</t>
  </si>
  <si>
    <t>75 - 79</t>
  </si>
  <si>
    <t>Age group</t>
  </si>
  <si>
    <t>Reduction Factor</t>
  </si>
  <si>
    <t>Low</t>
  </si>
  <si>
    <t>Medium</t>
  </si>
  <si>
    <t>High</t>
  </si>
  <si>
    <t>Risk Group</t>
  </si>
  <si>
    <t>SA : KZN Population Ratio</t>
  </si>
  <si>
    <t>P Stay in same group</t>
  </si>
  <si>
    <t>P(to HR|M,15-34)</t>
  </si>
  <si>
    <t>International Data Base: South Africa 1985. U.S. Census Bureau.</t>
  </si>
  <si>
    <r>
      <rPr>
        <b/>
        <sz val="12"/>
        <color theme="1"/>
        <rFont val="Times New Roman"/>
        <family val="1"/>
      </rPr>
      <t>Initial population size (1985).</t>
    </r>
    <r>
      <rPr>
        <sz val="12"/>
        <color theme="1"/>
        <rFont val="Times New Roman"/>
        <family val="1"/>
      </rPr>
      <t xml:space="preserve"> Age distribution based on SA 1985 census and scaled to fit KZN's population growth and size profile.</t>
    </r>
  </si>
  <si>
    <t>Age Cohort</t>
  </si>
  <si>
    <t>Initial Population Size</t>
  </si>
  <si>
    <r>
      <rPr>
        <b/>
        <sz val="12"/>
        <color theme="1"/>
        <rFont val="Times New Roman"/>
        <family val="1"/>
      </rPr>
      <t>Sexual risk distribution by age and sex.</t>
    </r>
    <r>
      <rPr>
        <sz val="12"/>
        <color theme="1"/>
        <rFont val="Times New Roman"/>
        <family val="1"/>
      </rPr>
      <t xml:space="preserve"> Values are based on Africa Centre data from KwaZulu Natal, South Africa.</t>
    </r>
  </si>
  <si>
    <t>Male risk distribution</t>
  </si>
  <si>
    <t>Female risk distribution</t>
  </si>
  <si>
    <t>S. Moyo et al., Analysis of Viral Diversity in Relation to the Recency of HIV-1C Infection in Botswana. PloS one 11, e0160649 (2016).</t>
  </si>
  <si>
    <r>
      <rPr>
        <b/>
        <sz val="12"/>
        <color theme="1"/>
        <rFont val="Times New Roman"/>
        <family val="1"/>
      </rPr>
      <t>Background mortality.</t>
    </r>
    <r>
      <rPr>
        <sz val="12"/>
        <color theme="1"/>
        <rFont val="Times New Roman"/>
        <family val="1"/>
      </rPr>
      <t xml:space="preserve"> </t>
    </r>
  </si>
  <si>
    <t>. (World Health Organization, Geneva).</t>
  </si>
  <si>
    <t>. (United Nations Children's Education Fund).</t>
  </si>
  <si>
    <r>
      <rPr>
        <b/>
        <sz val="12"/>
        <color theme="1"/>
        <rFont val="Times New Roman"/>
        <family val="1"/>
      </rPr>
      <t xml:space="preserve">Fertility rate by age and HIV status. </t>
    </r>
    <r>
      <rPr>
        <sz val="12"/>
        <color theme="1"/>
        <rFont val="Times New Roman"/>
        <family val="1"/>
      </rPr>
      <t>Females on ART are assumed to have equal fertility to HIV-negative females.</t>
    </r>
  </si>
  <si>
    <t>R. Anderson, R. May, T. Ng, J. Rowley, Age-Dependent Choice of Sexual Partners and the Transmission Dynamics of HIV in Sub-Saharan Africa. Phil. Trans. R. Soc. London. B 336, 135 - 155 (1992).</t>
  </si>
  <si>
    <t>A. Ross et al., HIV-1 disease progression and fertility: the incidence of recognized pregnancy and pregnancy outcome in Uganda. AIDS (London, England) 18, 799-804 (2004).</t>
  </si>
  <si>
    <t>RR=1 [13]</t>
  </si>
  <si>
    <t xml:space="preserve">Acute </t>
  </si>
  <si>
    <t>RR=1 [13, 23]</t>
  </si>
  <si>
    <r>
      <t>CD4 &gt; 500</t>
    </r>
    <r>
      <rPr>
        <sz val="12"/>
        <color theme="1"/>
        <rFont val="Times New Roman"/>
        <family val="1"/>
      </rPr>
      <t xml:space="preserve"> </t>
    </r>
  </si>
  <si>
    <t>[13, 23] extended</t>
  </si>
  <si>
    <t xml:space="preserve">&lt;200 </t>
  </si>
  <si>
    <t>RR=0.59[13, 23]</t>
  </si>
  <si>
    <t>HIV-</t>
  </si>
  <si>
    <r>
      <t xml:space="preserve">HIV- </t>
    </r>
    <r>
      <rPr>
        <sz val="12"/>
        <color theme="1"/>
        <rFont val="Times New Roman"/>
        <family val="1"/>
      </rPr>
      <t/>
    </r>
  </si>
  <si>
    <r>
      <rPr>
        <b/>
        <sz val="12"/>
        <color theme="1"/>
        <rFont val="Times New Roman"/>
        <family val="1"/>
      </rPr>
      <t xml:space="preserve">Annual number of sexual partnerships by age, gender, and sexual risk. </t>
    </r>
    <r>
      <rPr>
        <sz val="12"/>
        <color theme="1"/>
        <rFont val="Times New Roman"/>
        <family val="1"/>
      </rPr>
      <t>Values are based on Africa Centre data from KwaZulu Natal, South Africa.</t>
    </r>
  </si>
  <si>
    <t>Note: No females were found to be in the high risk group for age 30-34. No males or females were found to be in the high risk groups for ages 45-79. As such, members of the high risk groups in these age groups were assumed to contribute minimally to contact patterns and were assigned one partner per year.</t>
  </si>
  <si>
    <r>
      <rPr>
        <b/>
        <sz val="12"/>
        <color theme="1"/>
        <rFont val="Times New Roman"/>
        <family val="1"/>
      </rPr>
      <t xml:space="preserve">The number of coital acts per partnership by sex, age, and sexual risk group. </t>
    </r>
    <r>
      <rPr>
        <sz val="12"/>
        <color theme="1"/>
        <rFont val="Times New Roman"/>
        <family val="1"/>
      </rPr>
      <t>Values are calibrated to fit age-specific HIV and HPV prevalence data.</t>
    </r>
  </si>
  <si>
    <r>
      <rPr>
        <b/>
        <sz val="12"/>
        <color theme="1"/>
        <rFont val="Times New Roman"/>
        <family val="1"/>
      </rPr>
      <t xml:space="preserve">Sexual mixing by age and sexual risk group. </t>
    </r>
    <r>
      <rPr>
        <sz val="12"/>
        <color theme="1"/>
        <rFont val="Times New Roman"/>
        <family val="1"/>
      </rPr>
      <t>The mixing parameter varies from random (1) to assortative (0), calibrated to fit age-specific HIV incidence and prevalence data.</t>
    </r>
  </si>
  <si>
    <t>Mixing</t>
  </si>
  <si>
    <t>Coital acts per partnership</t>
  </si>
  <si>
    <t>Males</t>
  </si>
  <si>
    <t>Females</t>
  </si>
  <si>
    <r>
      <t xml:space="preserve">Peak number of coital acts per partnership. </t>
    </r>
    <r>
      <rPr>
        <sz val="12"/>
        <color theme="1"/>
        <rFont val="Times New Roman"/>
        <family val="1"/>
      </rPr>
      <t>Not currently used.</t>
    </r>
  </si>
  <si>
    <t>Statistics South Africa. Primary tables KwaZulu-Natal: Census '96 and 2001 compared. . (2004). (http://www.statssa.gov.za/census/census_2011/census_products/KZN_Municipal_Report.pdf, page 120)</t>
  </si>
  <si>
    <t>Fertility Rate (per year) before 1990</t>
  </si>
  <si>
    <t>Fertility Rate (per year) by 2010</t>
  </si>
  <si>
    <t>Fertility Rate (per year) by 2020</t>
  </si>
  <si>
    <t>1985-1990</t>
  </si>
  <si>
    <t>Roger Ying paper</t>
  </si>
  <si>
    <t>males</t>
  </si>
  <si>
    <t>females</t>
  </si>
  <si>
    <t>UN World Population Prospects 2019</t>
  </si>
  <si>
    <t>Note: fertility rates changed linearly from 1990 to 2010 so that the model's population growth resembles actual population growth patterns. Fertility rate for 2010 onwards is 1/2 the fertility rate before 1990.</t>
  </si>
  <si>
    <t>&lt;--should use UNICEF data here instead?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</si>
</sst>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;\-0.00000;0"/>
    <numFmt numFmtId="165" formatCode="###;\-###;0"/>
  </numFmts>
  <fonts count="3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.3000000000000007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b/>
      <sz val="11"/>
      <name val="Arial"/>
      <family val="2"/>
    </font>
    <font>
      <sz val="12"/>
      <color indexed="8"/>
      <name val="Calibri"/>
      <family val="2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9"/>
      <color indexed="8"/>
      <name val="Arial"/>
      <family val="2"/>
    </font>
    <font>
      <sz val="9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48">
    <xf numFmtId="0" fontId="0" fillId="0" borderId="0"/>
    <xf numFmtId="0" fontId="10" fillId="0" borderId="19" applyNumberFormat="0" applyFill="0" applyAlignment="0" applyProtection="0"/>
    <xf numFmtId="0" fontId="11" fillId="0" borderId="20" applyNumberFormat="0" applyFill="0" applyAlignment="0" applyProtection="0"/>
    <xf numFmtId="0" fontId="12" fillId="0" borderId="21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22" applyNumberFormat="0" applyAlignment="0" applyProtection="0"/>
    <xf numFmtId="0" fontId="17" fillId="8" borderId="23" applyNumberFormat="0" applyAlignment="0" applyProtection="0"/>
    <xf numFmtId="0" fontId="18" fillId="8" borderId="22" applyNumberFormat="0" applyAlignment="0" applyProtection="0"/>
    <xf numFmtId="0" fontId="19" fillId="0" borderId="24" applyNumberFormat="0" applyFill="0" applyAlignment="0" applyProtection="0"/>
    <xf numFmtId="0" fontId="20" fillId="9" borderId="25" applyNumberFormat="0" applyAlignment="0" applyProtection="0"/>
    <xf numFmtId="0" fontId="21" fillId="0" borderId="0" applyNumberFormat="0" applyFill="0" applyBorder="0" applyAlignment="0" applyProtection="0"/>
    <xf numFmtId="0" fontId="9" fillId="10" borderId="26" applyNumberFormat="0" applyFont="0" applyAlignment="0" applyProtection="0"/>
    <xf numFmtId="0" fontId="22" fillId="0" borderId="0" applyNumberFormat="0" applyFill="0" applyBorder="0" applyAlignment="0" applyProtection="0"/>
    <xf numFmtId="0" fontId="4" fillId="0" borderId="27" applyNumberFormat="0" applyFill="0" applyAlignment="0" applyProtection="0"/>
    <xf numFmtId="0" fontId="23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23" fillId="34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6" fillId="0" borderId="11">
      <alignment vertical="top" wrapText="1"/>
    </xf>
    <xf numFmtId="0" fontId="25" fillId="0" borderId="28">
      <alignment vertical="top"/>
    </xf>
    <xf numFmtId="0" fontId="25" fillId="0" borderId="0"/>
    <xf numFmtId="0" fontId="25" fillId="0" borderId="28">
      <alignment vertical="top"/>
    </xf>
  </cellStyleXfs>
  <cellXfs count="1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3" xfId="0" applyBorder="1"/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6" fillId="0" borderId="0" xfId="0" applyFont="1"/>
    <xf numFmtId="0" fontId="0" fillId="0" borderId="0" xfId="0" applyFill="1" applyBorder="1"/>
    <xf numFmtId="0" fontId="6" fillId="0" borderId="0" xfId="0" applyFont="1" applyBorder="1"/>
    <xf numFmtId="0" fontId="2" fillId="0" borderId="10" xfId="0" applyFont="1" applyBorder="1" applyAlignment="1">
      <alignment vertical="center" wrapText="1"/>
    </xf>
    <xf numFmtId="49" fontId="0" fillId="0" borderId="0" xfId="0" applyNumberFormat="1"/>
    <xf numFmtId="49" fontId="0" fillId="0" borderId="3" xfId="0" applyNumberForma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2" borderId="11" xfId="0" applyNumberFormat="1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vertical="center" wrapText="1"/>
    </xf>
    <xf numFmtId="0" fontId="6" fillId="0" borderId="0" xfId="0" applyFont="1" applyFill="1" applyBorder="1" applyAlignment="1"/>
    <xf numFmtId="0" fontId="7" fillId="0" borderId="0" xfId="0" applyFont="1" applyFill="1" applyBorder="1" applyAlignment="1">
      <alignment vertical="center" wrapText="1"/>
    </xf>
    <xf numFmtId="0" fontId="0" fillId="0" borderId="0" xfId="0" applyBorder="1"/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49" fontId="0" fillId="0" borderId="0" xfId="0" applyNumberFormat="1" applyFill="1" applyBorder="1" applyAlignment="1">
      <alignment horizontal="center"/>
    </xf>
    <xf numFmtId="0" fontId="8" fillId="2" borderId="29" xfId="0" applyNumberFormat="1" applyFont="1" applyFill="1" applyBorder="1" applyAlignment="1" applyProtection="1">
      <alignment horizontal="center" vertical="center" wrapText="1"/>
    </xf>
    <xf numFmtId="0" fontId="8" fillId="2" borderId="30" xfId="0" applyNumberFormat="1" applyFont="1" applyFill="1" applyBorder="1" applyAlignment="1" applyProtection="1">
      <alignment horizontal="center" vertical="center" wrapText="1"/>
    </xf>
    <xf numFmtId="0" fontId="8" fillId="2" borderId="31" xfId="0" applyNumberFormat="1" applyFont="1" applyFill="1" applyBorder="1" applyAlignment="1" applyProtection="1">
      <alignment horizontal="center" vertical="center" wrapText="1"/>
    </xf>
    <xf numFmtId="0" fontId="27" fillId="2" borderId="31" xfId="0" applyNumberFormat="1" applyFont="1" applyFill="1" applyBorder="1" applyAlignment="1" applyProtection="1"/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0" applyFill="1"/>
    <xf numFmtId="0" fontId="0" fillId="0" borderId="1" xfId="0" applyBorder="1"/>
    <xf numFmtId="0" fontId="0" fillId="0" borderId="3" xfId="0" applyFill="1" applyBorder="1"/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1" fillId="0" borderId="0" xfId="0" applyFont="1" applyFill="1"/>
    <xf numFmtId="0" fontId="8" fillId="0" borderId="0" xfId="0" applyNumberFormat="1" applyFont="1" applyFill="1" applyBorder="1" applyAlignment="1" applyProtection="1"/>
    <xf numFmtId="0" fontId="8" fillId="0" borderId="3" xfId="0" applyNumberFormat="1" applyFont="1" applyFill="1" applyBorder="1" applyAlignment="1" applyProtection="1"/>
    <xf numFmtId="0" fontId="28" fillId="0" borderId="3" xfId="0" applyNumberFormat="1" applyFont="1" applyFill="1" applyBorder="1" applyAlignment="1" applyProtection="1"/>
    <xf numFmtId="49" fontId="8" fillId="0" borderId="3" xfId="0" applyNumberFormat="1" applyFont="1" applyFill="1" applyBorder="1" applyAlignment="1" applyProtection="1"/>
    <xf numFmtId="0" fontId="8" fillId="2" borderId="3" xfId="0" applyNumberFormat="1" applyFont="1" applyFill="1" applyBorder="1" applyAlignment="1" applyProtection="1"/>
    <xf numFmtId="0" fontId="29" fillId="2" borderId="3" xfId="0" applyNumberFormat="1" applyFont="1" applyFill="1" applyBorder="1" applyAlignment="1" applyProtection="1"/>
    <xf numFmtId="0" fontId="8" fillId="0" borderId="3" xfId="0" applyNumberFormat="1" applyFont="1" applyFill="1" applyBorder="1" applyAlignment="1" applyProtection="1">
      <alignment horizontal="center" vertical="center" wrapText="1"/>
    </xf>
    <xf numFmtId="0" fontId="2" fillId="0" borderId="3" xfId="0" applyFont="1" applyBorder="1"/>
    <xf numFmtId="0" fontId="29" fillId="3" borderId="3" xfId="0" applyNumberFormat="1" applyFont="1" applyFill="1" applyBorder="1" applyAlignment="1" applyProtection="1"/>
    <xf numFmtId="0" fontId="6" fillId="0" borderId="0" xfId="0" applyFont="1" applyFill="1" applyBorder="1"/>
    <xf numFmtId="0" fontId="0" fillId="0" borderId="0" xfId="0" applyFont="1" applyBorder="1"/>
    <xf numFmtId="0" fontId="1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0" fillId="2" borderId="3" xfId="0" applyFill="1" applyBorder="1"/>
    <xf numFmtId="0" fontId="0" fillId="0" borderId="0" xfId="0" applyFill="1" applyAlignment="1">
      <alignment horizontal="right"/>
    </xf>
    <xf numFmtId="164" fontId="31" fillId="0" borderId="0" xfId="0" applyNumberFormat="1" applyFont="1" applyFill="1" applyBorder="1" applyAlignment="1" applyProtection="1">
      <alignment horizontal="right" wrapText="1"/>
    </xf>
    <xf numFmtId="165" fontId="31" fillId="0" borderId="0" xfId="0" applyNumberFormat="1" applyFont="1" applyFill="1" applyBorder="1" applyAlignment="1" applyProtection="1">
      <alignment horizontal="center" wrapText="1"/>
    </xf>
    <xf numFmtId="0" fontId="31" fillId="0" borderId="0" xfId="0" applyNumberFormat="1" applyFont="1" applyFill="1" applyBorder="1" applyAlignment="1" applyProtection="1">
      <alignment horizontal="center" wrapText="1"/>
    </xf>
    <xf numFmtId="0" fontId="30" fillId="0" borderId="0" xfId="0" applyFont="1" applyFill="1" applyBorder="1" applyAlignment="1">
      <alignment horizontal="right" vertical="center" wrapText="1"/>
    </xf>
    <xf numFmtId="165" fontId="32" fillId="0" borderId="0" xfId="0" applyNumberFormat="1" applyFont="1" applyFill="1" applyBorder="1" applyAlignment="1" applyProtection="1">
      <alignment horizont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NumberFormat="1"/>
    <xf numFmtId="0" fontId="31" fillId="0" borderId="0" xfId="0" applyNumberFormat="1" applyFont="1" applyFill="1" applyBorder="1" applyAlignment="1" applyProtection="1">
      <alignment horizontal="right" wrapText="1"/>
    </xf>
    <xf numFmtId="0" fontId="32" fillId="0" borderId="0" xfId="0" applyNumberFormat="1" applyFont="1" applyFill="1" applyBorder="1" applyAlignment="1" applyProtection="1">
      <alignment horizontal="right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8" fillId="0" borderId="3" xfId="0" applyNumberFormat="1" applyFont="1" applyFill="1" applyBorder="1" applyAlignment="1" applyProtection="1">
      <alignment horizontal="center"/>
    </xf>
    <xf numFmtId="49" fontId="28" fillId="0" borderId="3" xfId="0" applyNumberFormat="1" applyFont="1" applyFill="1" applyBorder="1" applyAlignment="1" applyProtection="1">
      <alignment horizontal="left"/>
    </xf>
    <xf numFmtId="49" fontId="28" fillId="0" borderId="3" xfId="0" applyNumberFormat="1" applyFont="1" applyFill="1" applyBorder="1" applyAlignment="1" applyProtection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/>
    </xf>
    <xf numFmtId="0" fontId="1" fillId="0" borderId="3" xfId="0" applyFont="1" applyFill="1" applyBorder="1" applyAlignment="1">
      <alignment horizontal="left"/>
    </xf>
  </cellXfs>
  <cellStyles count="4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Data" xfId="45"/>
    <cellStyle name="Data 2" xfId="47"/>
    <cellStyle name="Explanatory Text" xfId="15" builtinId="53" customBuiltin="1"/>
    <cellStyle name="Good" xfId="5" builtinId="26" customBuiltin="1"/>
    <cellStyle name="Header" xfId="44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2"/>
    <cellStyle name="Normal 2 2" xfId="46"/>
    <cellStyle name="Note" xfId="14" builtinId="10" customBuiltin="1"/>
    <cellStyle name="Output" xfId="9" builtinId="21" customBuiltin="1"/>
    <cellStyle name="Percent 2" xfId="43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Kwa Zulu Natal Population Distribution (1985)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Demographics!$B$28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Demographics!$A$29:$A$44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Demographics!$B$29:$B$44</c:f>
              <c:numCache>
                <c:formatCode>General</c:formatCode>
                <c:ptCount val="16"/>
                <c:pt idx="0">
                  <c:v>-418189</c:v>
                </c:pt>
                <c:pt idx="1">
                  <c:v>-361938</c:v>
                </c:pt>
                <c:pt idx="2">
                  <c:v>-327171</c:v>
                </c:pt>
                <c:pt idx="3">
                  <c:v>-289627</c:v>
                </c:pt>
                <c:pt idx="4">
                  <c:v>-262704</c:v>
                </c:pt>
                <c:pt idx="5">
                  <c:v>-235673</c:v>
                </c:pt>
                <c:pt idx="6">
                  <c:v>-197816</c:v>
                </c:pt>
                <c:pt idx="7">
                  <c:v>-160952</c:v>
                </c:pt>
                <c:pt idx="8">
                  <c:v>-132311</c:v>
                </c:pt>
                <c:pt idx="9">
                  <c:v>-110849</c:v>
                </c:pt>
                <c:pt idx="10">
                  <c:v>-89027</c:v>
                </c:pt>
                <c:pt idx="11">
                  <c:v>-70487</c:v>
                </c:pt>
                <c:pt idx="12">
                  <c:v>-50094.736842105267</c:v>
                </c:pt>
                <c:pt idx="13">
                  <c:v>-35803.827751196171</c:v>
                </c:pt>
                <c:pt idx="14">
                  <c:v>-24102.551834130783</c:v>
                </c:pt>
                <c:pt idx="15">
                  <c:v>-14240.510366826158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5-4ED0-A092-F29A057F24D7}"/>
            </c:ext>
          </c:extLst>
        </c:ser>
        <c:ser>
          <c:idx val="1"/>
          <c:order val="1"/>
          <c:tx>
            <c:strRef>
              <c:f>Demographics!$C$28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Demographics!$A$29:$A$44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Demographics!$C$29:$C$44</c:f>
              <c:numCache>
                <c:formatCode>General</c:formatCode>
                <c:ptCount val="16"/>
                <c:pt idx="0">
                  <c:v>417311</c:v>
                </c:pt>
                <c:pt idx="1">
                  <c:v>361594</c:v>
                </c:pt>
                <c:pt idx="2">
                  <c:v>329333</c:v>
                </c:pt>
                <c:pt idx="3">
                  <c:v>296947</c:v>
                </c:pt>
                <c:pt idx="4">
                  <c:v>273204</c:v>
                </c:pt>
                <c:pt idx="5">
                  <c:v>249396</c:v>
                </c:pt>
                <c:pt idx="6">
                  <c:v>211839</c:v>
                </c:pt>
                <c:pt idx="7">
                  <c:v>176470</c:v>
                </c:pt>
                <c:pt idx="8">
                  <c:v>143351</c:v>
                </c:pt>
                <c:pt idx="9">
                  <c:v>123441</c:v>
                </c:pt>
                <c:pt idx="10">
                  <c:v>98355</c:v>
                </c:pt>
                <c:pt idx="11">
                  <c:v>82330</c:v>
                </c:pt>
                <c:pt idx="12">
                  <c:v>57671.85534591195</c:v>
                </c:pt>
                <c:pt idx="13">
                  <c:v>44482.861635220121</c:v>
                </c:pt>
                <c:pt idx="14">
                  <c:v>33878.773584905655</c:v>
                </c:pt>
                <c:pt idx="15">
                  <c:v>22783.176100628931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5-4ED0-A092-F29A057F2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4335295"/>
        <c:axId val="1504319903"/>
      </c:barChart>
      <c:catAx>
        <c:axId val="1504335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19903"/>
        <c:crosses val="autoZero"/>
        <c:auto val="1"/>
        <c:lblAlgn val="ctr"/>
        <c:lblOffset val="100"/>
        <c:noMultiLvlLbl val="0"/>
      </c:catAx>
      <c:valAx>
        <c:axId val="150431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3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Male Risk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Demographics!$B$52:$B$53</c:f>
              <c:strCache>
                <c:ptCount val="2"/>
                <c:pt idx="0">
                  <c:v>Male risk distribution</c:v>
                </c:pt>
                <c:pt idx="1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Demographics!$B$54:$B$69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0.50909090909090904</c:v>
                </c:pt>
                <c:pt idx="4">
                  <c:v>0.47198879551820722</c:v>
                </c:pt>
                <c:pt idx="5">
                  <c:v>0.51034482758620692</c:v>
                </c:pt>
                <c:pt idx="6">
                  <c:v>0.60451977401129942</c:v>
                </c:pt>
                <c:pt idx="7">
                  <c:v>0.76551724137931032</c:v>
                </c:pt>
                <c:pt idx="8">
                  <c:v>0.81818181818181812</c:v>
                </c:pt>
                <c:pt idx="9">
                  <c:v>0.85074626865671632</c:v>
                </c:pt>
                <c:pt idx="10">
                  <c:v>0.85074626865671632</c:v>
                </c:pt>
                <c:pt idx="11">
                  <c:v>0.85074626865671632</c:v>
                </c:pt>
                <c:pt idx="12">
                  <c:v>0.85074626865671632</c:v>
                </c:pt>
                <c:pt idx="13">
                  <c:v>0.85074626865671632</c:v>
                </c:pt>
                <c:pt idx="14">
                  <c:v>0.85074626865671632</c:v>
                </c:pt>
                <c:pt idx="15">
                  <c:v>0.85074626865671632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DE-429A-97A8-C1DB53F092CE}"/>
            </c:ext>
          </c:extLst>
        </c:ser>
        <c:ser>
          <c:idx val="1"/>
          <c:order val="1"/>
          <c:tx>
            <c:strRef>
              <c:f>Demographics!$C$52:$C$53</c:f>
              <c:strCache>
                <c:ptCount val="2"/>
                <c:pt idx="0">
                  <c:v>Male risk distribution</c:v>
                </c:pt>
                <c:pt idx="1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Demographics!$C$54:$C$69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0.40757575757575759</c:v>
                </c:pt>
                <c:pt idx="4">
                  <c:v>0.44257703081232491</c:v>
                </c:pt>
                <c:pt idx="5">
                  <c:v>0.41149425287356323</c:v>
                </c:pt>
                <c:pt idx="6">
                  <c:v>0.34180790960451979</c:v>
                </c:pt>
                <c:pt idx="7">
                  <c:v>0.20344827586206896</c:v>
                </c:pt>
                <c:pt idx="8">
                  <c:v>0.16783216783216784</c:v>
                </c:pt>
                <c:pt idx="9">
                  <c:v>0.14825373134328401</c:v>
                </c:pt>
                <c:pt idx="10">
                  <c:v>0.14825373134328401</c:v>
                </c:pt>
                <c:pt idx="11">
                  <c:v>0.14825373134328401</c:v>
                </c:pt>
                <c:pt idx="12">
                  <c:v>0.14825373134328401</c:v>
                </c:pt>
                <c:pt idx="13">
                  <c:v>0.14825373134328401</c:v>
                </c:pt>
                <c:pt idx="14">
                  <c:v>0.14825373134328401</c:v>
                </c:pt>
                <c:pt idx="15">
                  <c:v>0.14825373134328401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DE-429A-97A8-C1DB53F092CE}"/>
            </c:ext>
          </c:extLst>
        </c:ser>
        <c:ser>
          <c:idx val="2"/>
          <c:order val="2"/>
          <c:tx>
            <c:strRef>
              <c:f>Demographics!$D$52:$D$53</c:f>
              <c:strCache>
                <c:ptCount val="2"/>
                <c:pt idx="0">
                  <c:v>Male risk distribution</c:v>
                </c:pt>
                <c:pt idx="1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Demographics!$D$54:$D$69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8.3333333333333315E-2</c:v>
                </c:pt>
                <c:pt idx="4">
                  <c:v>8.5434173669467789E-2</c:v>
                </c:pt>
                <c:pt idx="5">
                  <c:v>7.8160919540229884E-2</c:v>
                </c:pt>
                <c:pt idx="6">
                  <c:v>5.3672316384180789E-2</c:v>
                </c:pt>
                <c:pt idx="7">
                  <c:v>3.1034482758620689E-2</c:v>
                </c:pt>
                <c:pt idx="8">
                  <c:v>1.3986013986013986E-2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1E-3</c:v>
                </c:pt>
                <c:pt idx="14">
                  <c:v>1E-3</c:v>
                </c:pt>
                <c:pt idx="15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DE-429A-97A8-C1DB53F09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3327311"/>
        <c:axId val="1423328559"/>
      </c:barChart>
      <c:catAx>
        <c:axId val="142332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8559"/>
        <c:crosses val="autoZero"/>
        <c:auto val="1"/>
        <c:lblAlgn val="ctr"/>
        <c:lblOffset val="100"/>
        <c:noMultiLvlLbl val="0"/>
      </c:catAx>
      <c:valAx>
        <c:axId val="142332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Female</a:t>
            </a:r>
            <a:r>
              <a:rPr lang="en-US" baseline="0"/>
              <a:t> Risk Distribution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Demographics!$E$53</c:f>
              <c:strCache>
                <c:ptCount val="1"/>
                <c:pt idx="0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Demographics!$E$54:$E$69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0.96368038740920081</c:v>
                </c:pt>
                <c:pt idx="4">
                  <c:v>0.95901639344262291</c:v>
                </c:pt>
                <c:pt idx="5">
                  <c:v>0.95509822263797939</c:v>
                </c:pt>
                <c:pt idx="6">
                  <c:v>0.983032873806999</c:v>
                </c:pt>
                <c:pt idx="7">
                  <c:v>0.98152424942263283</c:v>
                </c:pt>
                <c:pt idx="8">
                  <c:v>0.9838536060279871</c:v>
                </c:pt>
                <c:pt idx="9">
                  <c:v>0.99568965517241381</c:v>
                </c:pt>
                <c:pt idx="10">
                  <c:v>0.99568965517241381</c:v>
                </c:pt>
                <c:pt idx="11">
                  <c:v>0.99568965517241381</c:v>
                </c:pt>
                <c:pt idx="12">
                  <c:v>0.99568965517241381</c:v>
                </c:pt>
                <c:pt idx="13">
                  <c:v>0.99568965517241381</c:v>
                </c:pt>
                <c:pt idx="14">
                  <c:v>0.99568965517241381</c:v>
                </c:pt>
                <c:pt idx="15">
                  <c:v>0.99568965517241381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1-4EF8-9458-7A1C80C1E857}"/>
            </c:ext>
          </c:extLst>
        </c:ser>
        <c:ser>
          <c:idx val="1"/>
          <c:order val="1"/>
          <c:tx>
            <c:strRef>
              <c:f>Demographics!$F$53</c:f>
              <c:strCache>
                <c:ptCount val="1"/>
                <c:pt idx="0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Demographics!$F$54:$F$69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3.3898305084745763E-2</c:v>
                </c:pt>
                <c:pt idx="4">
                  <c:v>3.9344262295081971E-2</c:v>
                </c:pt>
                <c:pt idx="5">
                  <c:v>4.2095416276894303E-2</c:v>
                </c:pt>
                <c:pt idx="6">
                  <c:v>1.5967126193001099E-2</c:v>
                </c:pt>
                <c:pt idx="7">
                  <c:v>1.7321016166281754E-2</c:v>
                </c:pt>
                <c:pt idx="8">
                  <c:v>1.60463939720129E-2</c:v>
                </c:pt>
                <c:pt idx="9">
                  <c:v>2.8735632183908046E-3</c:v>
                </c:pt>
                <c:pt idx="10">
                  <c:v>2.8735632183908046E-3</c:v>
                </c:pt>
                <c:pt idx="11">
                  <c:v>2.8735632183908046E-3</c:v>
                </c:pt>
                <c:pt idx="12">
                  <c:v>2.8735632183908046E-3</c:v>
                </c:pt>
                <c:pt idx="13">
                  <c:v>2.8735632183908046E-3</c:v>
                </c:pt>
                <c:pt idx="14">
                  <c:v>2.8735632183908046E-3</c:v>
                </c:pt>
                <c:pt idx="15">
                  <c:v>2.8735632183908046E-3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31-4EF8-9458-7A1C80C1E857}"/>
            </c:ext>
          </c:extLst>
        </c:ser>
        <c:ser>
          <c:idx val="2"/>
          <c:order val="2"/>
          <c:tx>
            <c:strRef>
              <c:f>Demographics!$G$53</c:f>
              <c:strCache>
                <c:ptCount val="1"/>
                <c:pt idx="0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Demographics!$G$54:$G$69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2.4213075060532689E-3</c:v>
                </c:pt>
                <c:pt idx="4">
                  <c:v>1.6393442622950817E-3</c:v>
                </c:pt>
                <c:pt idx="5">
                  <c:v>2.8063610851262861E-3</c:v>
                </c:pt>
                <c:pt idx="6">
                  <c:v>1E-3</c:v>
                </c:pt>
                <c:pt idx="7">
                  <c:v>1.1547344110854503E-3</c:v>
                </c:pt>
                <c:pt idx="8">
                  <c:v>9.9999999999988987E-5</c:v>
                </c:pt>
                <c:pt idx="9">
                  <c:v>1.4367816091954023E-3</c:v>
                </c:pt>
                <c:pt idx="10">
                  <c:v>1.4367816091954023E-3</c:v>
                </c:pt>
                <c:pt idx="11">
                  <c:v>1.4367816091954023E-3</c:v>
                </c:pt>
                <c:pt idx="12">
                  <c:v>1.4367816091954023E-3</c:v>
                </c:pt>
                <c:pt idx="13">
                  <c:v>1.4367816091954023E-3</c:v>
                </c:pt>
                <c:pt idx="14">
                  <c:v>1.4367816091954023E-3</c:v>
                </c:pt>
                <c:pt idx="15">
                  <c:v>1.4367816091954023E-3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31-4EF8-9458-7A1C80C1E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6686815"/>
        <c:axId val="1556692639"/>
      </c:barChart>
      <c:catAx>
        <c:axId val="155668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92639"/>
        <c:crosses val="autoZero"/>
        <c:auto val="1"/>
        <c:lblAlgn val="ctr"/>
        <c:lblOffset val="100"/>
        <c:noMultiLvlLbl val="0"/>
      </c:catAx>
      <c:valAx>
        <c:axId val="155669263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8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183</xdr:row>
      <xdr:rowOff>0</xdr:rowOff>
    </xdr:from>
    <xdr:to>
      <xdr:col>1</xdr:col>
      <xdr:colOff>146050</xdr:colOff>
      <xdr:row>183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16500" y="0"/>
          <a:ext cx="146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183</xdr:row>
      <xdr:rowOff>0</xdr:rowOff>
    </xdr:from>
    <xdr:to>
      <xdr:col>2</xdr:col>
      <xdr:colOff>133350</xdr:colOff>
      <xdr:row>183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26100" y="0"/>
          <a:ext cx="1333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182562</xdr:colOff>
      <xdr:row>26</xdr:row>
      <xdr:rowOff>7938</xdr:rowOff>
    </xdr:from>
    <xdr:to>
      <xdr:col>10</xdr:col>
      <xdr:colOff>79376</xdr:colOff>
      <xdr:row>44</xdr:row>
      <xdr:rowOff>7936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476250</xdr:colOff>
      <xdr:row>51</xdr:row>
      <xdr:rowOff>47625</xdr:rowOff>
    </xdr:from>
    <xdr:to>
      <xdr:col>13</xdr:col>
      <xdr:colOff>1738313</xdr:colOff>
      <xdr:row>69</xdr:row>
      <xdr:rowOff>23813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238124</xdr:colOff>
      <xdr:row>51</xdr:row>
      <xdr:rowOff>63500</xdr:rowOff>
    </xdr:from>
    <xdr:to>
      <xdr:col>20</xdr:col>
      <xdr:colOff>603250</xdr:colOff>
      <xdr:row>69</xdr:row>
      <xdr:rowOff>23812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9"/>
  <sheetViews>
    <sheetView tabSelected="1" topLeftCell="A112" zoomScale="80" zoomScaleNormal="80" workbookViewId="0">
      <selection activeCell="J136" sqref="J136"/>
    </sheetView>
  </sheetViews>
  <sheetFormatPr defaultRowHeight="14.5" x14ac:dyDescent="0.35"/>
  <cols>
    <col min="1" max="1" width="17.453125" customWidth="1"/>
    <col min="2" max="2" width="14.453125" customWidth="1"/>
    <col min="3" max="3" width="13.81640625" customWidth="1"/>
    <col min="4" max="4" width="13.26953125" customWidth="1"/>
    <col min="5" max="5" width="16.54296875" customWidth="1"/>
    <col min="6" max="6" width="16.81640625" customWidth="1"/>
    <col min="8" max="8" width="13.1796875" bestFit="1" customWidth="1"/>
    <col min="9" max="9" width="15.81640625" customWidth="1"/>
    <col min="10" max="10" width="9" bestFit="1" customWidth="1"/>
    <col min="11" max="11" width="13.1796875" bestFit="1" customWidth="1"/>
    <col min="12" max="12" width="12.26953125" bestFit="1" customWidth="1"/>
    <col min="14" max="14" width="25" customWidth="1"/>
    <col min="16" max="16" width="17.7265625" customWidth="1"/>
    <col min="17" max="17" width="19.81640625" customWidth="1"/>
    <col min="18" max="18" width="14.81640625" bestFit="1" customWidth="1"/>
    <col min="19" max="19" width="11.81640625" bestFit="1" customWidth="1"/>
    <col min="20" max="20" width="11.81640625" customWidth="1"/>
    <col min="21" max="21" width="15.453125" customWidth="1"/>
    <col min="22" max="22" width="15.81640625" bestFit="1" customWidth="1"/>
    <col min="25" max="25" width="14.1796875" customWidth="1"/>
    <col min="26" max="26" width="13.453125" bestFit="1" customWidth="1"/>
    <col min="27" max="27" width="12.26953125" customWidth="1"/>
    <col min="28" max="29" width="13.453125" bestFit="1" customWidth="1"/>
    <col min="30" max="30" width="10.81640625" customWidth="1"/>
    <col min="31" max="31" width="8.81640625" bestFit="1" customWidth="1"/>
    <col min="32" max="32" width="14.1796875" customWidth="1"/>
    <col min="33" max="33" width="10.1796875" bestFit="1" customWidth="1"/>
    <col min="35" max="35" width="15.54296875" bestFit="1" customWidth="1"/>
    <col min="36" max="36" width="13.453125" bestFit="1" customWidth="1"/>
    <col min="37" max="38" width="12.26953125" bestFit="1" customWidth="1"/>
    <col min="40" max="40" width="15.81640625" customWidth="1"/>
  </cols>
  <sheetData>
    <row r="1" spans="1:25" ht="15.5" x14ac:dyDescent="0.35">
      <c r="A1" s="49" t="s">
        <v>63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ht="15.5" x14ac:dyDescent="0.35">
      <c r="A2" s="51" t="s">
        <v>62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ht="16" thickBot="1" x14ac:dyDescent="0.4">
      <c r="A3" s="51" t="s">
        <v>94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s="52" customFormat="1" ht="16" thickBot="1" x14ac:dyDescent="0.4">
      <c r="A4" s="1" t="s">
        <v>64</v>
      </c>
      <c r="B4" s="95" t="s">
        <v>65</v>
      </c>
      <c r="C4" s="96"/>
    </row>
    <row r="5" spans="1:25" ht="15.5" thickBot="1" x14ac:dyDescent="0.4">
      <c r="A5" s="53"/>
      <c r="B5" s="47" t="s">
        <v>0</v>
      </c>
      <c r="C5" s="47" t="s">
        <v>1</v>
      </c>
    </row>
    <row r="6" spans="1:25" ht="16" thickBot="1" x14ac:dyDescent="0.4">
      <c r="A6" s="4" t="s">
        <v>11</v>
      </c>
      <c r="B6" s="13">
        <v>418189</v>
      </c>
      <c r="C6" s="13">
        <v>417311</v>
      </c>
    </row>
    <row r="7" spans="1:25" ht="33.65" customHeight="1" thickBot="1" x14ac:dyDescent="0.4">
      <c r="A7" s="4" t="s">
        <v>14</v>
      </c>
      <c r="B7" s="13">
        <v>361938</v>
      </c>
      <c r="C7" s="13">
        <v>361594</v>
      </c>
    </row>
    <row r="8" spans="1:25" ht="16" thickBot="1" x14ac:dyDescent="0.4">
      <c r="A8" s="4" t="s">
        <v>17</v>
      </c>
      <c r="B8" s="13">
        <v>327171</v>
      </c>
      <c r="C8" s="13">
        <v>329333</v>
      </c>
    </row>
    <row r="9" spans="1:25" ht="16" thickBot="1" x14ac:dyDescent="0.4">
      <c r="A9" s="4" t="s">
        <v>18</v>
      </c>
      <c r="B9" s="13">
        <v>289627</v>
      </c>
      <c r="C9" s="13">
        <v>296947</v>
      </c>
    </row>
    <row r="10" spans="1:25" ht="16" thickBot="1" x14ac:dyDescent="0.4">
      <c r="A10" s="4" t="s">
        <v>19</v>
      </c>
      <c r="B10" s="13">
        <v>262704</v>
      </c>
      <c r="C10" s="13">
        <v>273204</v>
      </c>
    </row>
    <row r="11" spans="1:25" ht="16" thickBot="1" x14ac:dyDescent="0.4">
      <c r="A11" s="4" t="s">
        <v>20</v>
      </c>
      <c r="B11" s="13">
        <v>235673</v>
      </c>
      <c r="C11" s="13">
        <v>249396</v>
      </c>
    </row>
    <row r="12" spans="1:25" ht="16" thickBot="1" x14ac:dyDescent="0.4">
      <c r="A12" s="4" t="s">
        <v>21</v>
      </c>
      <c r="B12" s="13">
        <v>197816</v>
      </c>
      <c r="C12" s="13">
        <v>211839</v>
      </c>
    </row>
    <row r="13" spans="1:25" ht="16" thickBot="1" x14ac:dyDescent="0.4">
      <c r="A13" s="4" t="s">
        <v>22</v>
      </c>
      <c r="B13" s="13">
        <v>160952</v>
      </c>
      <c r="C13" s="13">
        <v>176470</v>
      </c>
    </row>
    <row r="14" spans="1:25" ht="16" thickBot="1" x14ac:dyDescent="0.4">
      <c r="A14" s="4" t="s">
        <v>24</v>
      </c>
      <c r="B14" s="13">
        <v>132311</v>
      </c>
      <c r="C14" s="13">
        <v>143351</v>
      </c>
    </row>
    <row r="15" spans="1:25" ht="16" thickBot="1" x14ac:dyDescent="0.4">
      <c r="A15" s="4" t="s">
        <v>25</v>
      </c>
      <c r="B15" s="13">
        <v>110849</v>
      </c>
      <c r="C15" s="13">
        <v>123441</v>
      </c>
    </row>
    <row r="16" spans="1:25" ht="16" thickBot="1" x14ac:dyDescent="0.4">
      <c r="A16" s="4" t="s">
        <v>26</v>
      </c>
      <c r="B16" s="13">
        <v>89027</v>
      </c>
      <c r="C16" s="13">
        <v>98355</v>
      </c>
    </row>
    <row r="17" spans="1:24" ht="15.5" x14ac:dyDescent="0.35">
      <c r="A17" s="22" t="s">
        <v>27</v>
      </c>
      <c r="B17" s="23">
        <v>70487</v>
      </c>
      <c r="C17" s="23">
        <v>82330</v>
      </c>
    </row>
    <row r="18" spans="1:24" x14ac:dyDescent="0.35">
      <c r="A18" s="21" t="s">
        <v>49</v>
      </c>
      <c r="B18" s="73">
        <f>314094/6.27</f>
        <v>50094.736842105267</v>
      </c>
      <c r="C18" s="73">
        <f>366793/6.36</f>
        <v>57671.85534591195</v>
      </c>
    </row>
    <row r="19" spans="1:24" x14ac:dyDescent="0.35">
      <c r="A19" s="21" t="s">
        <v>50</v>
      </c>
      <c r="B19" s="73">
        <f>224490/6.27</f>
        <v>35803.827751196171</v>
      </c>
      <c r="C19" s="73">
        <f>282911/6.36</f>
        <v>44482.861635220121</v>
      </c>
    </row>
    <row r="20" spans="1:24" x14ac:dyDescent="0.35">
      <c r="A20" s="21" t="s">
        <v>51</v>
      </c>
      <c r="B20" s="73">
        <f>151123/6.27</f>
        <v>24102.551834130783</v>
      </c>
      <c r="C20" s="73">
        <f>215469/6.36</f>
        <v>33878.773584905655</v>
      </c>
    </row>
    <row r="21" spans="1:24" x14ac:dyDescent="0.35">
      <c r="A21" s="21" t="s">
        <v>52</v>
      </c>
      <c r="B21" s="73">
        <f>89288/6.27</f>
        <v>14240.510366826158</v>
      </c>
      <c r="C21" s="73">
        <f>144901/6.36</f>
        <v>22783.176100628931</v>
      </c>
    </row>
    <row r="22" spans="1:24" ht="15.5" x14ac:dyDescent="0.35">
      <c r="A22" s="24" t="s">
        <v>28</v>
      </c>
      <c r="B22" s="12">
        <f>SUM(B6:B21)</f>
        <v>2780985.6267942581</v>
      </c>
      <c r="C22" s="12">
        <f>SUM(C6:C21)</f>
        <v>2922387.6666666665</v>
      </c>
      <c r="D22" s="12">
        <f>SUM(B22:C22)</f>
        <v>5703373.2934609242</v>
      </c>
      <c r="X22" s="17"/>
    </row>
    <row r="23" spans="1:24" ht="15.5" x14ac:dyDescent="0.35">
      <c r="A23" s="9"/>
      <c r="B23" s="9"/>
    </row>
    <row r="24" spans="1:24" ht="29" x14ac:dyDescent="0.35">
      <c r="A24" s="25" t="s">
        <v>59</v>
      </c>
      <c r="B24">
        <f>16661041/2656744</f>
        <v>6.2712256054779836</v>
      </c>
      <c r="C24">
        <f>17593051/2763571</f>
        <v>6.3660571774707435</v>
      </c>
    </row>
    <row r="26" spans="1:24" x14ac:dyDescent="0.35">
      <c r="F26" s="39"/>
    </row>
    <row r="27" spans="1:24" ht="15.5" x14ac:dyDescent="0.35">
      <c r="A27" s="45" t="s">
        <v>64</v>
      </c>
      <c r="B27" s="97" t="s">
        <v>65</v>
      </c>
      <c r="C27" s="98"/>
    </row>
    <row r="28" spans="1:24" ht="15" x14ac:dyDescent="0.35">
      <c r="A28" s="12"/>
      <c r="B28" s="45" t="s">
        <v>0</v>
      </c>
      <c r="C28" s="45" t="s">
        <v>1</v>
      </c>
      <c r="F28" s="20"/>
    </row>
    <row r="29" spans="1:24" ht="15.5" x14ac:dyDescent="0.35">
      <c r="A29" s="8" t="s">
        <v>11</v>
      </c>
      <c r="B29" s="24">
        <f t="array" ref="B29:B44">-1*B6:B22</f>
        <v>-418189</v>
      </c>
      <c r="C29" s="24">
        <v>417311</v>
      </c>
    </row>
    <row r="30" spans="1:24" ht="15.5" x14ac:dyDescent="0.35">
      <c r="A30" s="8" t="s">
        <v>14</v>
      </c>
      <c r="B30" s="24">
        <v>-361938</v>
      </c>
      <c r="C30" s="24">
        <v>361594</v>
      </c>
    </row>
    <row r="31" spans="1:24" ht="15.5" x14ac:dyDescent="0.35">
      <c r="A31" s="8" t="s">
        <v>17</v>
      </c>
      <c r="B31" s="24">
        <v>-327171</v>
      </c>
      <c r="C31" s="24">
        <v>329333</v>
      </c>
      <c r="L31" s="11"/>
    </row>
    <row r="32" spans="1:24" ht="15.5" x14ac:dyDescent="0.35">
      <c r="A32" s="8" t="s">
        <v>18</v>
      </c>
      <c r="B32" s="24">
        <v>-289627</v>
      </c>
      <c r="C32" s="24">
        <v>296947</v>
      </c>
    </row>
    <row r="33" spans="1:32" ht="15.5" x14ac:dyDescent="0.35">
      <c r="A33" s="8" t="s">
        <v>19</v>
      </c>
      <c r="B33" s="24">
        <v>-262704</v>
      </c>
      <c r="C33" s="24">
        <v>273204</v>
      </c>
    </row>
    <row r="34" spans="1:32" ht="15.5" x14ac:dyDescent="0.35">
      <c r="A34" s="8" t="s">
        <v>20</v>
      </c>
      <c r="B34" s="24">
        <v>-235673</v>
      </c>
      <c r="C34" s="24">
        <v>249396</v>
      </c>
    </row>
    <row r="35" spans="1:32" ht="15.5" x14ac:dyDescent="0.35">
      <c r="A35" s="8" t="s">
        <v>21</v>
      </c>
      <c r="B35" s="24">
        <v>-197816</v>
      </c>
      <c r="C35" s="24">
        <v>211839</v>
      </c>
    </row>
    <row r="36" spans="1:32" ht="15.5" x14ac:dyDescent="0.35">
      <c r="A36" s="8" t="s">
        <v>22</v>
      </c>
      <c r="B36" s="24">
        <v>-160952</v>
      </c>
      <c r="C36" s="24">
        <v>176470</v>
      </c>
      <c r="X36" s="17"/>
      <c r="Y36" s="17"/>
      <c r="Z36" s="9"/>
      <c r="AA36" s="9"/>
      <c r="AB36" s="9"/>
      <c r="AC36" s="9"/>
      <c r="AD36" s="9"/>
      <c r="AE36" s="9"/>
      <c r="AF36" s="17"/>
    </row>
    <row r="37" spans="1:32" ht="15.5" x14ac:dyDescent="0.35">
      <c r="A37" s="8" t="s">
        <v>24</v>
      </c>
      <c r="B37" s="24">
        <v>-132311</v>
      </c>
      <c r="C37" s="24">
        <v>143351</v>
      </c>
      <c r="X37" s="18"/>
      <c r="Y37" s="18"/>
      <c r="Z37" s="18"/>
      <c r="AA37" s="18"/>
      <c r="AB37" s="18"/>
      <c r="AC37" s="18"/>
      <c r="AD37" s="18"/>
      <c r="AE37" s="18"/>
    </row>
    <row r="38" spans="1:32" ht="15.5" x14ac:dyDescent="0.35">
      <c r="A38" s="8" t="s">
        <v>25</v>
      </c>
      <c r="B38" s="24">
        <v>-110849</v>
      </c>
      <c r="C38" s="24">
        <v>123441</v>
      </c>
      <c r="X38" s="30"/>
      <c r="Y38" s="30"/>
      <c r="Z38" s="30"/>
      <c r="AA38" s="30"/>
      <c r="AB38" s="30"/>
      <c r="AC38" s="30"/>
      <c r="AD38" s="30"/>
      <c r="AE38" s="30"/>
    </row>
    <row r="39" spans="1:32" ht="15.5" x14ac:dyDescent="0.35">
      <c r="A39" s="8" t="s">
        <v>26</v>
      </c>
      <c r="B39" s="24">
        <v>-89027</v>
      </c>
      <c r="C39" s="24">
        <v>98355</v>
      </c>
      <c r="X39" s="31"/>
      <c r="Y39" s="31"/>
      <c r="Z39" s="31"/>
      <c r="AA39" s="31"/>
      <c r="AB39" s="31"/>
      <c r="AC39" s="31"/>
      <c r="AD39" s="31"/>
      <c r="AE39" s="31"/>
    </row>
    <row r="40" spans="1:32" ht="15.5" x14ac:dyDescent="0.35">
      <c r="A40" s="8" t="s">
        <v>27</v>
      </c>
      <c r="B40" s="24">
        <v>-70487</v>
      </c>
      <c r="C40" s="24">
        <v>82330</v>
      </c>
      <c r="X40" s="31"/>
      <c r="Y40" s="31"/>
      <c r="Z40" s="31"/>
      <c r="AA40" s="31"/>
      <c r="AB40" s="31"/>
      <c r="AC40" s="31"/>
      <c r="AD40" s="31"/>
      <c r="AE40" s="31"/>
    </row>
    <row r="41" spans="1:32" ht="15.5" x14ac:dyDescent="0.35">
      <c r="A41" s="21" t="s">
        <v>49</v>
      </c>
      <c r="B41" s="54">
        <v>-50094.736842105267</v>
      </c>
      <c r="C41" s="54">
        <f>366793/6.36</f>
        <v>57671.85534591195</v>
      </c>
      <c r="X41" s="31"/>
      <c r="Y41" s="31"/>
      <c r="Z41" s="31"/>
      <c r="AA41" s="31"/>
      <c r="AB41" s="31"/>
      <c r="AC41" s="31"/>
      <c r="AD41" s="31"/>
      <c r="AE41" s="31"/>
    </row>
    <row r="42" spans="1:32" ht="15.5" x14ac:dyDescent="0.35">
      <c r="A42" s="21" t="s">
        <v>50</v>
      </c>
      <c r="B42" s="54">
        <v>-35803.827751196171</v>
      </c>
      <c r="C42" s="54">
        <f>282911/6.36</f>
        <v>44482.861635220121</v>
      </c>
      <c r="X42" s="32"/>
      <c r="Y42" s="32"/>
      <c r="Z42" s="32"/>
      <c r="AA42" s="32"/>
      <c r="AB42" s="32"/>
      <c r="AC42" s="32"/>
      <c r="AD42" s="32"/>
      <c r="AE42" s="32"/>
    </row>
    <row r="43" spans="1:32" ht="15.5" x14ac:dyDescent="0.35">
      <c r="A43" s="21" t="s">
        <v>51</v>
      </c>
      <c r="B43" s="54">
        <v>-24102.551834130783</v>
      </c>
      <c r="C43" s="54">
        <f>215469/6.36</f>
        <v>33878.773584905655</v>
      </c>
      <c r="X43" s="32"/>
      <c r="Y43" s="32"/>
      <c r="Z43" s="32"/>
      <c r="AA43" s="32"/>
      <c r="AB43" s="32"/>
      <c r="AC43" s="32"/>
      <c r="AD43" s="32"/>
      <c r="AE43" s="32"/>
    </row>
    <row r="44" spans="1:32" ht="15.5" x14ac:dyDescent="0.35">
      <c r="A44" s="21" t="s">
        <v>52</v>
      </c>
      <c r="B44" s="54">
        <v>-14240.510366826158</v>
      </c>
      <c r="C44" s="54">
        <f>144901/6.36</f>
        <v>22783.176100628931</v>
      </c>
      <c r="X44" s="32"/>
      <c r="Y44" s="32"/>
      <c r="Z44" s="32"/>
      <c r="AA44" s="32"/>
      <c r="AB44" s="32"/>
      <c r="AC44" s="32"/>
      <c r="AD44" s="32"/>
      <c r="AE44" s="32"/>
    </row>
    <row r="45" spans="1:32" ht="15.5" x14ac:dyDescent="0.35">
      <c r="X45" s="32"/>
      <c r="Y45" s="32"/>
      <c r="Z45" s="32"/>
      <c r="AA45" s="32"/>
      <c r="AB45" s="32"/>
      <c r="AC45" s="32"/>
      <c r="AD45" s="32"/>
      <c r="AE45" s="32"/>
    </row>
    <row r="46" spans="1:32" ht="15.5" x14ac:dyDescent="0.35">
      <c r="X46" s="32"/>
      <c r="Y46" s="32"/>
      <c r="Z46" s="32"/>
      <c r="AA46" s="32"/>
      <c r="AB46" s="32"/>
      <c r="AC46" s="32"/>
      <c r="AD46" s="32"/>
      <c r="AE46" s="32"/>
    </row>
    <row r="47" spans="1:32" ht="15.5" x14ac:dyDescent="0.35">
      <c r="X47" s="32"/>
      <c r="Y47" s="32"/>
      <c r="Z47" s="32"/>
      <c r="AA47" s="32"/>
      <c r="AB47" s="32"/>
      <c r="AC47" s="32"/>
      <c r="AD47" s="32"/>
      <c r="AE47" s="32"/>
    </row>
    <row r="48" spans="1:32" ht="15.5" x14ac:dyDescent="0.35">
      <c r="X48" s="32"/>
      <c r="Y48" s="32"/>
      <c r="Z48" s="32"/>
      <c r="AA48" s="32"/>
      <c r="AB48" s="32"/>
      <c r="AC48" s="32"/>
      <c r="AD48" s="32"/>
      <c r="AE48" s="32"/>
    </row>
    <row r="49" spans="1:31" ht="15.5" x14ac:dyDescent="0.35">
      <c r="X49" s="32"/>
      <c r="Y49" s="32"/>
      <c r="Z49" s="32"/>
      <c r="AA49" s="32"/>
      <c r="AB49" s="32"/>
      <c r="AC49" s="32"/>
      <c r="AD49" s="32"/>
      <c r="AE49" s="32"/>
    </row>
    <row r="50" spans="1:31" ht="15.5" x14ac:dyDescent="0.35">
      <c r="A50" s="49" t="s">
        <v>66</v>
      </c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32"/>
      <c r="Y50" s="32"/>
      <c r="Z50" s="32"/>
      <c r="AA50" s="32"/>
      <c r="AB50" s="32"/>
      <c r="AC50" s="32"/>
      <c r="AD50" s="32"/>
      <c r="AE50" s="32"/>
    </row>
    <row r="51" spans="1:31" ht="15.5" x14ac:dyDescent="0.35">
      <c r="A51" s="51" t="s">
        <v>69</v>
      </c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32"/>
      <c r="Y51" s="32"/>
      <c r="Z51" s="32"/>
      <c r="AA51" s="32"/>
      <c r="AB51" s="32"/>
      <c r="AC51" s="32"/>
      <c r="AD51" s="32"/>
      <c r="AE51" s="32"/>
    </row>
    <row r="52" spans="1:31" ht="15.5" x14ac:dyDescent="0.35">
      <c r="A52" s="102" t="s">
        <v>2</v>
      </c>
      <c r="B52" s="102" t="s">
        <v>67</v>
      </c>
      <c r="C52" s="102"/>
      <c r="D52" s="102"/>
      <c r="E52" s="102" t="s">
        <v>68</v>
      </c>
      <c r="F52" s="102"/>
      <c r="G52" s="102"/>
      <c r="X52" s="30"/>
      <c r="Y52" s="30"/>
      <c r="Z52" s="30"/>
      <c r="AA52" s="30"/>
      <c r="AB52" s="30"/>
      <c r="AC52" s="30"/>
      <c r="AD52" s="30"/>
      <c r="AE52" s="30"/>
    </row>
    <row r="53" spans="1:31" ht="30" x14ac:dyDescent="0.35">
      <c r="A53" s="102"/>
      <c r="B53" s="45" t="s">
        <v>6</v>
      </c>
      <c r="C53" s="45" t="s">
        <v>7</v>
      </c>
      <c r="D53" s="45" t="s">
        <v>8</v>
      </c>
      <c r="E53" s="45" t="s">
        <v>6</v>
      </c>
      <c r="F53" s="45" t="s">
        <v>7</v>
      </c>
      <c r="G53" s="45" t="s">
        <v>8</v>
      </c>
      <c r="X53" s="29"/>
      <c r="Y53" s="29"/>
      <c r="Z53" s="28"/>
      <c r="AA53" s="33"/>
      <c r="AB53" s="33"/>
      <c r="AC53" s="33"/>
      <c r="AD53" s="33"/>
      <c r="AE53" s="33"/>
    </row>
    <row r="54" spans="1:31" ht="15.5" x14ac:dyDescent="0.35">
      <c r="A54" s="8" t="s">
        <v>11</v>
      </c>
      <c r="B54" s="14">
        <v>1</v>
      </c>
      <c r="C54" s="14">
        <v>0</v>
      </c>
      <c r="D54" s="14">
        <v>0</v>
      </c>
      <c r="E54" s="14">
        <v>1</v>
      </c>
      <c r="F54" s="14">
        <v>0</v>
      </c>
      <c r="G54" s="14">
        <f>1-E54-F54</f>
        <v>0</v>
      </c>
    </row>
    <row r="55" spans="1:31" ht="15.5" x14ac:dyDescent="0.35">
      <c r="A55" s="8" t="s">
        <v>14</v>
      </c>
      <c r="B55" s="14">
        <v>1</v>
      </c>
      <c r="C55" s="14">
        <v>0</v>
      </c>
      <c r="D55" s="14">
        <v>0</v>
      </c>
      <c r="E55" s="14">
        <v>1</v>
      </c>
      <c r="F55" s="14">
        <v>0</v>
      </c>
      <c r="G55" s="14">
        <f t="shared" ref="G55:G56" si="0">1-E55-F55</f>
        <v>0</v>
      </c>
    </row>
    <row r="56" spans="1:31" ht="15.5" x14ac:dyDescent="0.35">
      <c r="A56" s="8" t="s">
        <v>17</v>
      </c>
      <c r="B56" s="14">
        <v>0.98</v>
      </c>
      <c r="C56" s="14">
        <v>1.4999999999999999E-2</v>
      </c>
      <c r="D56" s="14">
        <f>1-B56-C56</f>
        <v>5.0000000000000183E-3</v>
      </c>
      <c r="E56" s="14">
        <v>0.98</v>
      </c>
      <c r="F56" s="14">
        <v>1.4999999999999999E-2</v>
      </c>
      <c r="G56" s="14">
        <f t="shared" si="0"/>
        <v>5.0000000000000183E-3</v>
      </c>
    </row>
    <row r="57" spans="1:31" ht="15.5" x14ac:dyDescent="0.35">
      <c r="A57" s="8" t="s">
        <v>18</v>
      </c>
      <c r="B57" s="14">
        <v>0.50909090909090904</v>
      </c>
      <c r="C57" s="14">
        <v>0.40757575757575759</v>
      </c>
      <c r="D57" s="14">
        <v>8.3333333333333315E-2</v>
      </c>
      <c r="E57" s="14">
        <v>0.96368038740920081</v>
      </c>
      <c r="F57" s="14">
        <v>3.3898305084745763E-2</v>
      </c>
      <c r="G57" s="14">
        <v>2.4213075060532689E-3</v>
      </c>
    </row>
    <row r="58" spans="1:31" ht="15.5" x14ac:dyDescent="0.35">
      <c r="A58" s="8" t="s">
        <v>19</v>
      </c>
      <c r="B58" s="14">
        <v>0.47198879551820722</v>
      </c>
      <c r="C58" s="14">
        <v>0.44257703081232491</v>
      </c>
      <c r="D58" s="14">
        <v>8.5434173669467789E-2</v>
      </c>
      <c r="E58" s="14">
        <v>0.95901639344262291</v>
      </c>
      <c r="F58" s="14">
        <v>3.9344262295081971E-2</v>
      </c>
      <c r="G58" s="14">
        <v>1.6393442622950817E-3</v>
      </c>
    </row>
    <row r="59" spans="1:31" ht="16" customHeight="1" x14ac:dyDescent="0.35">
      <c r="A59" s="8" t="s">
        <v>20</v>
      </c>
      <c r="B59" s="14">
        <v>0.51034482758620692</v>
      </c>
      <c r="C59" s="14">
        <v>0.41149425287356323</v>
      </c>
      <c r="D59" s="14">
        <v>7.8160919540229884E-2</v>
      </c>
      <c r="E59" s="14">
        <v>0.95509822263797939</v>
      </c>
      <c r="F59" s="14">
        <v>4.2095416276894303E-2</v>
      </c>
      <c r="G59" s="14">
        <v>2.8063610851262861E-3</v>
      </c>
      <c r="O59" s="16"/>
    </row>
    <row r="60" spans="1:31" ht="15.5" x14ac:dyDescent="0.35">
      <c r="A60" s="8" t="s">
        <v>23</v>
      </c>
      <c r="B60" s="14">
        <v>0.60451977401129942</v>
      </c>
      <c r="C60" s="14">
        <v>0.34180790960451979</v>
      </c>
      <c r="D60" s="14">
        <v>5.3672316384180789E-2</v>
      </c>
      <c r="E60" s="14">
        <v>0.983032873806999</v>
      </c>
      <c r="F60" s="14">
        <f>0.0169671261930011-0.001</f>
        <v>1.5967126193001099E-2</v>
      </c>
      <c r="G60" s="14">
        <v>1E-3</v>
      </c>
    </row>
    <row r="61" spans="1:31" ht="15.5" x14ac:dyDescent="0.35">
      <c r="A61" s="8" t="s">
        <v>22</v>
      </c>
      <c r="B61" s="14">
        <v>0.76551724137931032</v>
      </c>
      <c r="C61" s="14">
        <v>0.20344827586206896</v>
      </c>
      <c r="D61" s="14">
        <v>3.1034482758620689E-2</v>
      </c>
      <c r="E61" s="14">
        <v>0.98152424942263283</v>
      </c>
      <c r="F61" s="14">
        <v>1.7321016166281754E-2</v>
      </c>
      <c r="G61" s="14">
        <v>1.1547344110854503E-3</v>
      </c>
    </row>
    <row r="62" spans="1:31" ht="15.5" x14ac:dyDescent="0.35">
      <c r="A62" s="8" t="s">
        <v>24</v>
      </c>
      <c r="B62" s="14">
        <v>0.81818181818181812</v>
      </c>
      <c r="C62" s="14">
        <v>0.16783216783216784</v>
      </c>
      <c r="D62" s="14">
        <v>1.3986013986013986E-2</v>
      </c>
      <c r="E62" s="14">
        <v>0.9838536060279871</v>
      </c>
      <c r="F62" s="14">
        <f>0.0161463939720129-0.0001</f>
        <v>1.60463939720129E-2</v>
      </c>
      <c r="G62" s="14">
        <f>1-(E62+F62)</f>
        <v>9.9999999999988987E-5</v>
      </c>
    </row>
    <row r="63" spans="1:31" ht="15.5" x14ac:dyDescent="0.35">
      <c r="A63" s="8" t="s">
        <v>25</v>
      </c>
      <c r="B63" s="14">
        <v>0.85074626865671632</v>
      </c>
      <c r="C63" s="14">
        <f>0.149253731343284-0.001</f>
        <v>0.14825373134328401</v>
      </c>
      <c r="D63" s="14">
        <v>1E-3</v>
      </c>
      <c r="E63" s="14">
        <v>0.99568965517241381</v>
      </c>
      <c r="F63" s="14">
        <v>2.8735632183908046E-3</v>
      </c>
      <c r="G63" s="14">
        <v>1.4367816091954023E-3</v>
      </c>
    </row>
    <row r="64" spans="1:31" ht="15.5" x14ac:dyDescent="0.35">
      <c r="A64" s="8" t="s">
        <v>26</v>
      </c>
      <c r="B64" s="14">
        <v>0.85074626865671632</v>
      </c>
      <c r="C64" s="14">
        <f t="shared" ref="C64:C69" si="1">0.149253731343284-0.001</f>
        <v>0.14825373134328401</v>
      </c>
      <c r="D64" s="14">
        <v>1E-3</v>
      </c>
      <c r="E64" s="14">
        <v>0.99568965517241381</v>
      </c>
      <c r="F64" s="14">
        <v>2.8735632183908046E-3</v>
      </c>
      <c r="G64" s="14">
        <v>1.4367816091954023E-3</v>
      </c>
    </row>
    <row r="65" spans="1:24" ht="15.5" x14ac:dyDescent="0.35">
      <c r="A65" s="8" t="s">
        <v>27</v>
      </c>
      <c r="B65" s="14">
        <v>0.85074626865671632</v>
      </c>
      <c r="C65" s="14">
        <f t="shared" si="1"/>
        <v>0.14825373134328401</v>
      </c>
      <c r="D65" s="14">
        <v>1E-3</v>
      </c>
      <c r="E65" s="14">
        <v>0.99568965517241381</v>
      </c>
      <c r="F65" s="14">
        <v>2.8735632183908046E-3</v>
      </c>
      <c r="G65" s="14">
        <v>1.4367816091954023E-3</v>
      </c>
    </row>
    <row r="66" spans="1:24" ht="15.5" x14ac:dyDescent="0.35">
      <c r="A66" s="21" t="s">
        <v>49</v>
      </c>
      <c r="B66" s="27">
        <v>0.85074626865671632</v>
      </c>
      <c r="C66" s="27">
        <f t="shared" si="1"/>
        <v>0.14825373134328401</v>
      </c>
      <c r="D66" s="27">
        <v>1E-3</v>
      </c>
      <c r="E66" s="27">
        <v>0.99568965517241381</v>
      </c>
      <c r="F66" s="27">
        <v>2.8735632183908046E-3</v>
      </c>
      <c r="G66" s="27">
        <v>1.4367816091954023E-3</v>
      </c>
    </row>
    <row r="67" spans="1:24" ht="15.5" x14ac:dyDescent="0.35">
      <c r="A67" s="21" t="s">
        <v>50</v>
      </c>
      <c r="B67" s="27">
        <v>0.85074626865671632</v>
      </c>
      <c r="C67" s="27">
        <f t="shared" si="1"/>
        <v>0.14825373134328401</v>
      </c>
      <c r="D67" s="27">
        <v>1E-3</v>
      </c>
      <c r="E67" s="27">
        <v>0.99568965517241381</v>
      </c>
      <c r="F67" s="27">
        <v>2.8735632183908046E-3</v>
      </c>
      <c r="G67" s="27">
        <v>1.4367816091954023E-3</v>
      </c>
    </row>
    <row r="68" spans="1:24" ht="15.5" x14ac:dyDescent="0.35">
      <c r="A68" s="21" t="s">
        <v>51</v>
      </c>
      <c r="B68" s="27">
        <v>0.85074626865671632</v>
      </c>
      <c r="C68" s="27">
        <f t="shared" si="1"/>
        <v>0.14825373134328401</v>
      </c>
      <c r="D68" s="27">
        <v>1E-3</v>
      </c>
      <c r="E68" s="27">
        <v>0.99568965517241381</v>
      </c>
      <c r="F68" s="27">
        <v>2.8735632183908046E-3</v>
      </c>
      <c r="G68" s="27">
        <v>1.4367816091954023E-3</v>
      </c>
    </row>
    <row r="69" spans="1:24" ht="15.5" x14ac:dyDescent="0.35">
      <c r="A69" s="21" t="s">
        <v>52</v>
      </c>
      <c r="B69" s="27">
        <v>0.85074626865671632</v>
      </c>
      <c r="C69" s="27">
        <f t="shared" si="1"/>
        <v>0.14825373134328401</v>
      </c>
      <c r="D69" s="27">
        <v>1E-3</v>
      </c>
      <c r="E69" s="27">
        <v>0.99568965517241381</v>
      </c>
      <c r="F69" s="27">
        <v>2.8735632183908046E-3</v>
      </c>
      <c r="G69" s="27">
        <v>1.4367816091954023E-3</v>
      </c>
    </row>
    <row r="71" spans="1:24" x14ac:dyDescent="0.35">
      <c r="A71" s="39" t="s">
        <v>60</v>
      </c>
      <c r="B71">
        <f>PRODUCT(B54:B69)</f>
        <v>1.4676838219218388E-2</v>
      </c>
      <c r="C71">
        <f t="shared" ref="C71:G71" si="2">PRODUCT(C54:C69)</f>
        <v>0</v>
      </c>
      <c r="D71">
        <f t="shared" si="2"/>
        <v>0</v>
      </c>
      <c r="E71">
        <f t="shared" si="2"/>
        <v>0.79671076610996394</v>
      </c>
      <c r="F71">
        <f t="shared" si="2"/>
        <v>0</v>
      </c>
      <c r="G71">
        <f t="shared" si="2"/>
        <v>0</v>
      </c>
    </row>
    <row r="72" spans="1:24" x14ac:dyDescent="0.35">
      <c r="A72" s="39" t="s">
        <v>61</v>
      </c>
      <c r="B72">
        <f>1-((1-(C57+D57))*(1-(C58+D58))*(1-(C59+D59)*(1-(C60+D60))))</f>
        <v>0.83084071366534329</v>
      </c>
    </row>
    <row r="78" spans="1:24" ht="15.5" x14ac:dyDescent="0.35">
      <c r="A78" s="49" t="s">
        <v>70</v>
      </c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</row>
    <row r="79" spans="1:24" ht="15.5" x14ac:dyDescent="0.35">
      <c r="A79" s="51" t="s">
        <v>71</v>
      </c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</row>
    <row r="80" spans="1:24" ht="16" thickBot="1" x14ac:dyDescent="0.4">
      <c r="A80" s="51" t="s">
        <v>72</v>
      </c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</row>
    <row r="81" spans="1:16" x14ac:dyDescent="0.35">
      <c r="A81" s="86" t="s">
        <v>2</v>
      </c>
      <c r="B81" s="99" t="s">
        <v>3</v>
      </c>
      <c r="C81" s="99" t="s">
        <v>4</v>
      </c>
      <c r="H81" t="s">
        <v>102</v>
      </c>
    </row>
    <row r="82" spans="1:16" x14ac:dyDescent="0.35">
      <c r="A82" s="87"/>
      <c r="B82" s="100"/>
      <c r="C82" s="100"/>
      <c r="I82" s="77" t="s">
        <v>98</v>
      </c>
      <c r="K82" t="s">
        <v>100</v>
      </c>
      <c r="L82" t="s">
        <v>101</v>
      </c>
    </row>
    <row r="83" spans="1:16" ht="15" thickBot="1" x14ac:dyDescent="0.4">
      <c r="A83" s="88"/>
      <c r="B83" s="101"/>
      <c r="C83" s="101"/>
      <c r="E83" t="s">
        <v>99</v>
      </c>
      <c r="H83" s="75"/>
      <c r="I83" s="79">
        <v>0</v>
      </c>
      <c r="J83" s="79">
        <v>1</v>
      </c>
      <c r="K83" s="85">
        <v>5.1751479000000003E-2</v>
      </c>
      <c r="L83" s="85">
        <v>4.2747080999999999E-2</v>
      </c>
      <c r="O83" s="80"/>
      <c r="P83" s="80"/>
    </row>
    <row r="84" spans="1:16" ht="16" thickBot="1" x14ac:dyDescent="0.4">
      <c r="A84" s="4" t="s">
        <v>11</v>
      </c>
      <c r="B84" s="13">
        <v>9.7736974618099839E-3</v>
      </c>
      <c r="C84" s="13">
        <v>8.8057230624727749E-3</v>
      </c>
      <c r="E84">
        <v>0.06</v>
      </c>
      <c r="F84">
        <v>0.06</v>
      </c>
      <c r="H84" s="75"/>
      <c r="I84" s="79">
        <v>1</v>
      </c>
      <c r="J84" s="79">
        <v>4</v>
      </c>
      <c r="K84" s="85">
        <v>5.2241062999999997E-3</v>
      </c>
      <c r="L84" s="85">
        <v>4.6946237E-3</v>
      </c>
      <c r="M84" t="s">
        <v>104</v>
      </c>
    </row>
    <row r="85" spans="1:16" ht="16" thickBot="1" x14ac:dyDescent="0.4">
      <c r="A85" s="4" t="s">
        <v>14</v>
      </c>
      <c r="B85" s="13">
        <v>7.0479241332746252E-4</v>
      </c>
      <c r="C85" s="13">
        <v>5.2457282047517039E-4</v>
      </c>
      <c r="E85">
        <v>5.2999999999999998E-4</v>
      </c>
      <c r="F85">
        <v>4.0000000000000002E-4</v>
      </c>
      <c r="H85" s="75"/>
      <c r="I85" s="81">
        <v>0</v>
      </c>
      <c r="J85" s="82">
        <f>SUM(J83:J84)</f>
        <v>5</v>
      </c>
      <c r="K85" s="83">
        <f>SUM(K83:K84)</f>
        <v>5.6975585300000006E-2</v>
      </c>
      <c r="L85" s="83">
        <f>SUM(L83:L84)</f>
        <v>4.7441704699999997E-2</v>
      </c>
    </row>
    <row r="86" spans="1:16" ht="16" thickBot="1" x14ac:dyDescent="0.4">
      <c r="A86" s="4" t="s">
        <v>17</v>
      </c>
      <c r="B86" s="13">
        <v>6.6512031823691051E-4</v>
      </c>
      <c r="C86" s="13">
        <v>4.8877879149405545E-4</v>
      </c>
      <c r="E86">
        <v>5.5999999999999995E-4</v>
      </c>
      <c r="F86">
        <v>4.2999999999999999E-4</v>
      </c>
      <c r="H86" s="75"/>
      <c r="I86" s="76">
        <v>5</v>
      </c>
      <c r="J86" s="76">
        <v>5</v>
      </c>
      <c r="K86" s="84">
        <v>2.4750038999999998E-3</v>
      </c>
      <c r="L86" s="84">
        <v>1.8590649E-3</v>
      </c>
    </row>
    <row r="87" spans="1:16" ht="16" thickBot="1" x14ac:dyDescent="0.4">
      <c r="A87" s="4" t="s">
        <v>18</v>
      </c>
      <c r="B87" s="13">
        <v>1.5342977725554027E-3</v>
      </c>
      <c r="C87" s="13">
        <v>9.035280767087482E-4</v>
      </c>
      <c r="E87">
        <v>1.83E-3</v>
      </c>
      <c r="F87">
        <v>7.6000000000000004E-4</v>
      </c>
      <c r="H87" s="75"/>
      <c r="I87" s="76">
        <v>10</v>
      </c>
      <c r="J87" s="76">
        <v>5</v>
      </c>
      <c r="K87" s="84">
        <v>1.5814690000000001E-3</v>
      </c>
      <c r="L87" s="84">
        <v>1.2227608999999999E-3</v>
      </c>
    </row>
    <row r="88" spans="1:16" ht="16" thickBot="1" x14ac:dyDescent="0.4">
      <c r="A88" s="4" t="s">
        <v>19</v>
      </c>
      <c r="B88" s="13">
        <v>3.0300276114214515E-3</v>
      </c>
      <c r="C88" s="13">
        <v>1.6915946235478447E-3</v>
      </c>
      <c r="E88">
        <v>3.98E-3</v>
      </c>
      <c r="F88">
        <v>1.2999999999999999E-3</v>
      </c>
      <c r="H88" s="75"/>
      <c r="I88" s="76">
        <v>15</v>
      </c>
      <c r="J88" s="76">
        <v>5</v>
      </c>
      <c r="K88" s="84">
        <v>2.5001934000000001E-3</v>
      </c>
      <c r="L88" s="84">
        <v>1.6750273E-3</v>
      </c>
    </row>
    <row r="89" spans="1:16" ht="16" thickBot="1" x14ac:dyDescent="0.4">
      <c r="A89" s="4" t="s">
        <v>20</v>
      </c>
      <c r="B89" s="13">
        <v>4.1525896502580392E-3</v>
      </c>
      <c r="C89" s="13">
        <v>2.0719480819543991E-3</v>
      </c>
      <c r="E89">
        <v>5.1399999999999996E-3</v>
      </c>
      <c r="F89">
        <v>1.83E-3</v>
      </c>
      <c r="H89" s="75"/>
      <c r="I89" s="76">
        <v>20</v>
      </c>
      <c r="J89" s="76">
        <v>5</v>
      </c>
      <c r="K89" s="84">
        <v>3.7640993E-3</v>
      </c>
      <c r="L89" s="84">
        <v>2.3815536E-3</v>
      </c>
    </row>
    <row r="90" spans="1:16" ht="16" thickBot="1" x14ac:dyDescent="0.4">
      <c r="A90" s="4" t="s">
        <v>23</v>
      </c>
      <c r="B90" s="13">
        <v>4.9862944509861482E-3</v>
      </c>
      <c r="C90" s="13">
        <v>2.4601074470881829E-3</v>
      </c>
      <c r="E90">
        <v>6.0600000000000003E-3</v>
      </c>
      <c r="F90">
        <v>2.5200000000000001E-3</v>
      </c>
      <c r="H90" s="75"/>
      <c r="I90" s="76">
        <v>25</v>
      </c>
      <c r="J90" s="76">
        <v>5</v>
      </c>
      <c r="K90" s="84">
        <v>4.3315932999999996E-3</v>
      </c>
      <c r="L90" s="84">
        <v>3.1198295999999999E-3</v>
      </c>
    </row>
    <row r="91" spans="1:16" ht="16" thickBot="1" x14ac:dyDescent="0.4">
      <c r="A91" s="4" t="s">
        <v>22</v>
      </c>
      <c r="B91" s="13">
        <v>5.8081155880338586E-3</v>
      </c>
      <c r="C91" s="13">
        <v>2.9925533571735037E-3</v>
      </c>
      <c r="E91">
        <v>7.1500000000000001E-3</v>
      </c>
      <c r="F91">
        <v>3.15E-3</v>
      </c>
      <c r="H91" s="75"/>
      <c r="I91" s="76">
        <v>30</v>
      </c>
      <c r="J91" s="76">
        <v>5</v>
      </c>
      <c r="K91" s="84">
        <v>5.1669517000000002E-3</v>
      </c>
      <c r="L91" s="84">
        <v>3.7817176000000002E-3</v>
      </c>
    </row>
    <row r="92" spans="1:16" ht="16" thickBot="1" x14ac:dyDescent="0.4">
      <c r="A92" s="4" t="s">
        <v>24</v>
      </c>
      <c r="B92" s="13">
        <v>7.5246430745063543E-3</v>
      </c>
      <c r="C92" s="13">
        <v>3.9413474052092329E-3</v>
      </c>
      <c r="E92">
        <v>9.5200000000000007E-3</v>
      </c>
      <c r="F92">
        <v>4.4799999999999996E-3</v>
      </c>
      <c r="H92" s="75"/>
      <c r="I92" s="76">
        <v>35</v>
      </c>
      <c r="J92" s="76">
        <v>5</v>
      </c>
      <c r="K92" s="84">
        <v>6.4414638999999996E-3</v>
      </c>
      <c r="L92" s="84">
        <v>4.6448573999999998E-3</v>
      </c>
    </row>
    <row r="93" spans="1:16" ht="16" thickBot="1" x14ac:dyDescent="0.4">
      <c r="A93" s="4" t="s">
        <v>25</v>
      </c>
      <c r="B93" s="13">
        <v>1.020645363647849E-2</v>
      </c>
      <c r="C93" s="13">
        <v>5.3575989334735206E-3</v>
      </c>
      <c r="E93">
        <v>1.1780000000000001E-2</v>
      </c>
      <c r="F93">
        <v>5.7600000000000004E-3</v>
      </c>
      <c r="H93" s="75"/>
      <c r="I93" s="76">
        <v>40</v>
      </c>
      <c r="J93" s="76">
        <v>5</v>
      </c>
      <c r="K93" s="84">
        <v>8.0432449999999992E-3</v>
      </c>
      <c r="L93" s="84">
        <v>5.6773359000000002E-3</v>
      </c>
    </row>
    <row r="94" spans="1:16" ht="16" thickBot="1" x14ac:dyDescent="0.4">
      <c r="A94" s="4" t="s">
        <v>26</v>
      </c>
      <c r="B94" s="13">
        <v>1.4201688569479806E-2</v>
      </c>
      <c r="C94" s="13">
        <v>7.5410818923787939E-3</v>
      </c>
      <c r="E94">
        <v>1.711E-2</v>
      </c>
      <c r="F94">
        <v>9.6399999999999993E-3</v>
      </c>
      <c r="H94" s="75"/>
      <c r="I94" s="76">
        <v>45</v>
      </c>
      <c r="J94" s="76">
        <v>5</v>
      </c>
      <c r="K94" s="84">
        <v>1.0135829000000001E-2</v>
      </c>
      <c r="L94" s="84">
        <v>6.6691631000000001E-3</v>
      </c>
    </row>
    <row r="95" spans="1:16" ht="16" thickBot="1" x14ac:dyDescent="0.4">
      <c r="A95" s="4" t="s">
        <v>27</v>
      </c>
      <c r="B95" s="13">
        <v>1.9689807514862868E-2</v>
      </c>
      <c r="C95" s="13">
        <v>1.0540154917424747E-2</v>
      </c>
      <c r="E95" s="52">
        <v>2.0809999999999999E-2</v>
      </c>
      <c r="F95" s="52">
        <v>1.393E-2</v>
      </c>
      <c r="H95" s="75"/>
      <c r="I95" s="76">
        <v>50</v>
      </c>
      <c r="J95" s="76">
        <v>5</v>
      </c>
      <c r="K95" s="84">
        <v>1.4004198000000001E-2</v>
      </c>
      <c r="L95" s="84">
        <v>8.9763412999999993E-3</v>
      </c>
    </row>
    <row r="96" spans="1:16" ht="16" thickBot="1" x14ac:dyDescent="0.4">
      <c r="A96" s="21" t="s">
        <v>49</v>
      </c>
      <c r="B96" s="13">
        <v>2.6650488106048104E-2</v>
      </c>
      <c r="C96" s="13">
        <v>1.5759592316689931E-2</v>
      </c>
      <c r="E96" s="78"/>
      <c r="F96" s="78"/>
      <c r="H96" s="75"/>
      <c r="I96" s="76">
        <v>55</v>
      </c>
      <c r="J96" s="76">
        <v>5</v>
      </c>
      <c r="K96" s="84">
        <v>1.8576009000000001E-2</v>
      </c>
      <c r="L96" s="84">
        <v>1.2049147E-2</v>
      </c>
    </row>
    <row r="97" spans="1:24" ht="16" thickBot="1" x14ac:dyDescent="0.4">
      <c r="A97" s="21" t="s">
        <v>50</v>
      </c>
      <c r="B97" s="13">
        <v>3.6763608595780588E-2</v>
      </c>
      <c r="C97" s="13">
        <v>2.2837523063216215E-2</v>
      </c>
      <c r="E97" s="78"/>
      <c r="F97" s="78"/>
      <c r="H97" s="75"/>
      <c r="I97" s="76">
        <v>60</v>
      </c>
      <c r="J97" s="76">
        <v>5</v>
      </c>
      <c r="K97" s="84">
        <v>2.7759598999999999E-2</v>
      </c>
      <c r="L97" s="84">
        <v>1.8543285E-2</v>
      </c>
    </row>
    <row r="98" spans="1:24" ht="16" thickBot="1" x14ac:dyDescent="0.4">
      <c r="A98" s="21" t="s">
        <v>51</v>
      </c>
      <c r="B98" s="13">
        <v>5.1790400883394136E-2</v>
      </c>
      <c r="C98" s="13">
        <v>3.3336893194863555E-2</v>
      </c>
      <c r="E98" s="78"/>
      <c r="F98" s="78"/>
      <c r="H98" s="75"/>
      <c r="I98" s="76">
        <v>65</v>
      </c>
      <c r="J98" s="76">
        <v>5</v>
      </c>
      <c r="K98" s="84">
        <v>4.2779603999999999E-2</v>
      </c>
      <c r="L98" s="84">
        <v>3.039122E-2</v>
      </c>
    </row>
    <row r="99" spans="1:24" ht="16" thickBot="1" x14ac:dyDescent="0.4">
      <c r="A99" s="21" t="s">
        <v>52</v>
      </c>
      <c r="B99" s="13">
        <v>8.3577387695122712E-2</v>
      </c>
      <c r="C99" s="13">
        <v>6.1722846856347699E-2</v>
      </c>
      <c r="E99" s="78"/>
      <c r="F99" s="78"/>
      <c r="H99" s="75"/>
      <c r="I99" s="76">
        <v>70</v>
      </c>
      <c r="J99" s="76">
        <v>5</v>
      </c>
      <c r="K99" s="84">
        <v>6.8473476000000005E-2</v>
      </c>
      <c r="L99" s="84">
        <v>5.1704121999999998E-2</v>
      </c>
    </row>
    <row r="100" spans="1:24" x14ac:dyDescent="0.35">
      <c r="E100" s="74"/>
      <c r="F100" s="74"/>
      <c r="I100" s="76">
        <v>75</v>
      </c>
      <c r="J100" s="76">
        <v>5</v>
      </c>
      <c r="K100" s="84">
        <v>0.11201527999999999</v>
      </c>
      <c r="L100" s="84">
        <v>8.8066895000000006E-2</v>
      </c>
    </row>
    <row r="101" spans="1:24" x14ac:dyDescent="0.35">
      <c r="I101" s="76"/>
      <c r="J101" s="76"/>
      <c r="K101" s="75"/>
    </row>
    <row r="102" spans="1:24" x14ac:dyDescent="0.35">
      <c r="I102" s="76"/>
      <c r="J102" s="76"/>
      <c r="K102" s="75"/>
    </row>
    <row r="103" spans="1:24" x14ac:dyDescent="0.35">
      <c r="I103" s="76"/>
      <c r="J103" s="76"/>
      <c r="K103" s="75"/>
    </row>
    <row r="104" spans="1:24" x14ac:dyDescent="0.35">
      <c r="I104" s="76"/>
      <c r="J104" s="76"/>
      <c r="K104" s="75"/>
    </row>
    <row r="105" spans="1:24" ht="15.5" x14ac:dyDescent="0.35">
      <c r="A105" s="49" t="s">
        <v>73</v>
      </c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</row>
    <row r="106" spans="1:24" ht="15.5" x14ac:dyDescent="0.35">
      <c r="A106" s="51" t="s">
        <v>74</v>
      </c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</row>
    <row r="107" spans="1:24" ht="15.5" x14ac:dyDescent="0.35">
      <c r="A107" s="51" t="s">
        <v>75</v>
      </c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</row>
    <row r="108" spans="1:24" ht="16" thickBot="1" x14ac:dyDescent="0.4">
      <c r="A108" s="49" t="s">
        <v>103</v>
      </c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</row>
    <row r="109" spans="1:24" ht="15.65" customHeight="1" thickBot="1" x14ac:dyDescent="0.4">
      <c r="A109" s="86" t="s">
        <v>2</v>
      </c>
      <c r="B109" s="89" t="s">
        <v>95</v>
      </c>
      <c r="C109" s="90"/>
      <c r="D109" s="90"/>
      <c r="E109" s="90"/>
      <c r="F109" s="90"/>
      <c r="G109" s="91"/>
    </row>
    <row r="110" spans="1:24" ht="46" customHeight="1" x14ac:dyDescent="0.35">
      <c r="A110" s="87"/>
      <c r="B110" s="44" t="s">
        <v>83</v>
      </c>
      <c r="C110" s="44" t="s">
        <v>77</v>
      </c>
      <c r="D110" s="44" t="s">
        <v>79</v>
      </c>
      <c r="E110" s="5" t="s">
        <v>12</v>
      </c>
      <c r="F110" s="5" t="s">
        <v>13</v>
      </c>
      <c r="G110" s="3" t="s">
        <v>81</v>
      </c>
    </row>
    <row r="111" spans="1:24" ht="47" thickBot="1" x14ac:dyDescent="0.4">
      <c r="A111" s="88"/>
      <c r="B111" s="46" t="s">
        <v>76</v>
      </c>
      <c r="C111" s="46" t="s">
        <v>78</v>
      </c>
      <c r="D111" s="46" t="s">
        <v>80</v>
      </c>
      <c r="E111" s="7" t="s">
        <v>15</v>
      </c>
      <c r="F111" s="7" t="s">
        <v>16</v>
      </c>
      <c r="G111" s="46" t="s">
        <v>82</v>
      </c>
    </row>
    <row r="112" spans="1:24" ht="16" thickBot="1" x14ac:dyDescent="0.4">
      <c r="A112" s="4" t="s">
        <v>11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</row>
    <row r="113" spans="1:14" ht="16" thickBot="1" x14ac:dyDescent="0.4">
      <c r="A113" s="4" t="s">
        <v>14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</row>
    <row r="114" spans="1:14" ht="16" thickBot="1" x14ac:dyDescent="0.4">
      <c r="A114" s="4" t="s">
        <v>17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I114" s="68"/>
      <c r="J114" s="18" t="s">
        <v>33</v>
      </c>
      <c r="K114" s="18" t="s">
        <v>34</v>
      </c>
      <c r="L114" s="18" t="s">
        <v>35</v>
      </c>
      <c r="M114" s="18" t="s">
        <v>13</v>
      </c>
      <c r="N114" s="18" t="s">
        <v>36</v>
      </c>
    </row>
    <row r="115" spans="1:14" ht="16" thickBot="1" x14ac:dyDescent="0.4">
      <c r="A115" s="4" t="s">
        <v>18</v>
      </c>
      <c r="B115" s="13">
        <v>0.1414</v>
      </c>
      <c r="C115" s="13">
        <v>0.1414</v>
      </c>
      <c r="D115" s="13">
        <v>0.1414</v>
      </c>
      <c r="E115" s="13">
        <v>8.2012000000000015E-2</v>
      </c>
      <c r="F115" s="13">
        <v>8.2012000000000015E-2</v>
      </c>
      <c r="G115" s="13">
        <v>5.7974000000000005E-2</v>
      </c>
      <c r="I115" s="9" t="s">
        <v>32</v>
      </c>
      <c r="J115" s="67">
        <f>C115/$B$115</f>
        <v>1</v>
      </c>
      <c r="K115" s="67">
        <f>D115/$B$115</f>
        <v>1</v>
      </c>
      <c r="L115" s="67">
        <f>E115/$B$115</f>
        <v>0.58000000000000007</v>
      </c>
      <c r="M115" s="67">
        <f>F115/$B$115</f>
        <v>0.58000000000000007</v>
      </c>
      <c r="N115" s="67">
        <f>G115/$B$115</f>
        <v>0.41000000000000003</v>
      </c>
    </row>
    <row r="116" spans="1:14" ht="16" thickBot="1" x14ac:dyDescent="0.4">
      <c r="A116" s="4" t="s">
        <v>19</v>
      </c>
      <c r="B116" s="13">
        <v>0.27800000000000002</v>
      </c>
      <c r="C116" s="13">
        <v>0.27800000000000002</v>
      </c>
      <c r="D116" s="13">
        <v>0.27800000000000002</v>
      </c>
      <c r="E116" s="13">
        <v>0.16124000000000002</v>
      </c>
      <c r="F116" s="13">
        <v>0.16124000000000002</v>
      </c>
      <c r="G116" s="13">
        <v>0.11398000000000003</v>
      </c>
    </row>
    <row r="117" spans="1:14" ht="16" thickBot="1" x14ac:dyDescent="0.4">
      <c r="A117" s="4" t="s">
        <v>20</v>
      </c>
      <c r="B117" s="13">
        <v>0.28360000000000002</v>
      </c>
      <c r="C117" s="13">
        <v>0.28360000000000002</v>
      </c>
      <c r="D117" s="13">
        <v>0.28360000000000002</v>
      </c>
      <c r="E117" s="13">
        <v>0.16448800000000002</v>
      </c>
      <c r="F117" s="13">
        <v>0.16448800000000002</v>
      </c>
      <c r="G117" s="13">
        <v>0.11627600000000002</v>
      </c>
    </row>
    <row r="118" spans="1:14" ht="16" thickBot="1" x14ac:dyDescent="0.4">
      <c r="A118" s="4" t="s">
        <v>23</v>
      </c>
      <c r="B118" s="13">
        <v>0.2112</v>
      </c>
      <c r="C118" s="13">
        <v>0.2112</v>
      </c>
      <c r="D118" s="13">
        <v>0.2112</v>
      </c>
      <c r="E118" s="13">
        <v>0.12249600000000001</v>
      </c>
      <c r="F118" s="13">
        <v>0.12249600000000001</v>
      </c>
      <c r="G118" s="13">
        <v>8.6592000000000002E-2</v>
      </c>
    </row>
    <row r="119" spans="1:14" ht="16" thickBot="1" x14ac:dyDescent="0.4">
      <c r="A119" s="4" t="s">
        <v>22</v>
      </c>
      <c r="B119" s="13">
        <v>0.1348</v>
      </c>
      <c r="C119" s="13">
        <v>0.1348</v>
      </c>
      <c r="D119" s="13">
        <v>0.1348</v>
      </c>
      <c r="E119" s="13">
        <v>7.8184000000000017E-2</v>
      </c>
      <c r="F119" s="13">
        <v>7.8184000000000017E-2</v>
      </c>
      <c r="G119" s="13">
        <v>5.5268000000000005E-2</v>
      </c>
    </row>
    <row r="120" spans="1:14" ht="16" thickBot="1" x14ac:dyDescent="0.4">
      <c r="A120" s="4" t="s">
        <v>24</v>
      </c>
      <c r="B120" s="13">
        <v>5.4200000000000005E-2</v>
      </c>
      <c r="C120" s="13">
        <v>5.4200000000000005E-2</v>
      </c>
      <c r="D120" s="13">
        <v>5.4200000000000005E-2</v>
      </c>
      <c r="E120" s="13">
        <v>3.1436000000000006E-2</v>
      </c>
      <c r="F120" s="13">
        <v>3.1436000000000006E-2</v>
      </c>
      <c r="G120" s="13">
        <v>2.2222000000000002E-2</v>
      </c>
    </row>
    <row r="121" spans="1:14" ht="16" thickBot="1" x14ac:dyDescent="0.4">
      <c r="A121" s="4" t="s">
        <v>25</v>
      </c>
      <c r="B121" s="13">
        <v>1.7600000000000001E-2</v>
      </c>
      <c r="C121" s="13">
        <v>1.7600000000000001E-2</v>
      </c>
      <c r="D121" s="13">
        <v>1.7600000000000001E-2</v>
      </c>
      <c r="E121" s="13">
        <v>1.0208000000000002E-2</v>
      </c>
      <c r="F121" s="13">
        <v>1.0208000000000002E-2</v>
      </c>
      <c r="G121" s="13">
        <v>7.2160000000000011E-3</v>
      </c>
    </row>
    <row r="122" spans="1:14" ht="16" thickBot="1" x14ac:dyDescent="0.4">
      <c r="A122" s="4" t="s">
        <v>26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</row>
    <row r="123" spans="1:14" ht="16" thickBot="1" x14ac:dyDescent="0.4">
      <c r="A123" s="4" t="s">
        <v>27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</row>
    <row r="124" spans="1:14" ht="16" thickBot="1" x14ac:dyDescent="0.4">
      <c r="A124" s="21" t="s">
        <v>49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</row>
    <row r="125" spans="1:14" ht="16" thickBot="1" x14ac:dyDescent="0.4">
      <c r="A125" s="21" t="s">
        <v>50</v>
      </c>
      <c r="B125" s="13">
        <v>0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</row>
    <row r="126" spans="1:14" ht="16" thickBot="1" x14ac:dyDescent="0.4">
      <c r="A126" s="21" t="s">
        <v>51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</row>
    <row r="127" spans="1:14" ht="16" thickBot="1" x14ac:dyDescent="0.4">
      <c r="A127" s="21" t="s">
        <v>52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</row>
    <row r="128" spans="1:14" x14ac:dyDescent="0.35">
      <c r="B128">
        <f t="shared" ref="B128:G128" si="3">5*SUM(B115:B121)</f>
        <v>5.604000000000001</v>
      </c>
      <c r="C128">
        <f t="shared" si="3"/>
        <v>5.604000000000001</v>
      </c>
      <c r="D128">
        <f t="shared" si="3"/>
        <v>5.604000000000001</v>
      </c>
      <c r="E128">
        <f t="shared" si="3"/>
        <v>3.2503200000000003</v>
      </c>
      <c r="F128">
        <f t="shared" si="3"/>
        <v>3.2503200000000003</v>
      </c>
      <c r="G128">
        <f t="shared" si="3"/>
        <v>2.2976400000000003</v>
      </c>
    </row>
    <row r="129" spans="1:15" ht="15" thickBot="1" x14ac:dyDescent="0.4"/>
    <row r="130" spans="1:15" ht="15.65" customHeight="1" thickBot="1" x14ac:dyDescent="0.4">
      <c r="A130" s="92" t="s">
        <v>2</v>
      </c>
      <c r="B130" s="89" t="s">
        <v>96</v>
      </c>
      <c r="C130" s="90"/>
      <c r="D130" s="90"/>
      <c r="E130" s="90"/>
      <c r="F130" s="90"/>
      <c r="G130" s="91"/>
      <c r="I130" s="92" t="s">
        <v>2</v>
      </c>
      <c r="J130" s="89" t="s">
        <v>97</v>
      </c>
      <c r="K130" s="90"/>
      <c r="L130" s="90"/>
      <c r="M130" s="90"/>
      <c r="N130" s="90"/>
      <c r="O130" s="91"/>
    </row>
    <row r="131" spans="1:15" ht="15" customHeight="1" x14ac:dyDescent="0.35">
      <c r="A131" s="93"/>
      <c r="B131" s="34" t="s">
        <v>84</v>
      </c>
      <c r="C131" s="35" t="s">
        <v>77</v>
      </c>
      <c r="D131" s="35" t="s">
        <v>79</v>
      </c>
      <c r="E131" s="36" t="s">
        <v>12</v>
      </c>
      <c r="F131" s="36" t="s">
        <v>13</v>
      </c>
      <c r="G131" s="37" t="s">
        <v>36</v>
      </c>
      <c r="I131" s="93"/>
      <c r="J131" s="34" t="s">
        <v>84</v>
      </c>
      <c r="K131" s="35" t="s">
        <v>77</v>
      </c>
      <c r="L131" s="35" t="s">
        <v>79</v>
      </c>
      <c r="M131" s="36" t="s">
        <v>12</v>
      </c>
      <c r="N131" s="36" t="s">
        <v>13</v>
      </c>
      <c r="O131" s="37" t="s">
        <v>36</v>
      </c>
    </row>
    <row r="132" spans="1:15" ht="47" thickBot="1" x14ac:dyDescent="0.4">
      <c r="A132" s="94"/>
      <c r="B132" s="55" t="s">
        <v>76</v>
      </c>
      <c r="C132" s="56" t="s">
        <v>78</v>
      </c>
      <c r="D132" s="56" t="s">
        <v>80</v>
      </c>
      <c r="E132" s="38" t="s">
        <v>15</v>
      </c>
      <c r="F132" s="38" t="s">
        <v>16</v>
      </c>
      <c r="G132" s="46" t="s">
        <v>82</v>
      </c>
      <c r="I132" s="94"/>
      <c r="J132" s="55" t="s">
        <v>76</v>
      </c>
      <c r="K132" s="56" t="s">
        <v>78</v>
      </c>
      <c r="L132" s="56" t="s">
        <v>80</v>
      </c>
      <c r="M132" s="38" t="s">
        <v>15</v>
      </c>
      <c r="N132" s="38" t="s">
        <v>16</v>
      </c>
      <c r="O132" s="71" t="s">
        <v>82</v>
      </c>
    </row>
    <row r="133" spans="1:15" ht="16" thickBot="1" x14ac:dyDescent="0.4">
      <c r="A133" s="4" t="s">
        <v>11</v>
      </c>
      <c r="B133" s="27">
        <v>0</v>
      </c>
      <c r="C133" s="27">
        <v>0</v>
      </c>
      <c r="D133" s="27">
        <v>0</v>
      </c>
      <c r="E133" s="27">
        <v>0</v>
      </c>
      <c r="F133" s="27">
        <v>0</v>
      </c>
      <c r="G133" s="27">
        <v>0</v>
      </c>
      <c r="I133" s="72" t="s">
        <v>11</v>
      </c>
      <c r="J133" s="27">
        <v>0</v>
      </c>
      <c r="K133" s="27">
        <v>0</v>
      </c>
      <c r="L133" s="27">
        <v>0</v>
      </c>
      <c r="M133" s="27">
        <v>0</v>
      </c>
      <c r="N133" s="27">
        <v>0</v>
      </c>
      <c r="O133" s="27">
        <v>0</v>
      </c>
    </row>
    <row r="134" spans="1:15" ht="16" thickBot="1" x14ac:dyDescent="0.4">
      <c r="A134" s="4" t="s">
        <v>14</v>
      </c>
      <c r="B134" s="27">
        <v>0</v>
      </c>
      <c r="C134" s="27">
        <v>0</v>
      </c>
      <c r="D134" s="27">
        <v>0</v>
      </c>
      <c r="E134" s="27">
        <v>0</v>
      </c>
      <c r="F134" s="27">
        <v>0</v>
      </c>
      <c r="G134" s="27">
        <v>0</v>
      </c>
      <c r="I134" s="72" t="s">
        <v>14</v>
      </c>
      <c r="J134" s="27">
        <v>0</v>
      </c>
      <c r="K134" s="27">
        <v>0</v>
      </c>
      <c r="L134" s="27">
        <v>0</v>
      </c>
      <c r="M134" s="27">
        <v>0</v>
      </c>
      <c r="N134" s="27">
        <v>0</v>
      </c>
      <c r="O134" s="27">
        <v>0</v>
      </c>
    </row>
    <row r="135" spans="1:15" ht="16" thickBot="1" x14ac:dyDescent="0.4">
      <c r="A135" s="4" t="s">
        <v>17</v>
      </c>
      <c r="B135" s="27">
        <v>0</v>
      </c>
      <c r="C135" s="27">
        <v>0</v>
      </c>
      <c r="D135" s="27">
        <v>0</v>
      </c>
      <c r="E135" s="27">
        <v>0</v>
      </c>
      <c r="F135" s="27">
        <v>0</v>
      </c>
      <c r="G135" s="27">
        <v>0</v>
      </c>
      <c r="I135" s="72" t="s">
        <v>17</v>
      </c>
      <c r="J135" s="27">
        <v>0</v>
      </c>
      <c r="K135" s="27">
        <v>0</v>
      </c>
      <c r="L135" s="27">
        <v>0</v>
      </c>
      <c r="M135" s="27">
        <v>0</v>
      </c>
      <c r="N135" s="27">
        <v>0</v>
      </c>
      <c r="O135" s="27">
        <v>0</v>
      </c>
    </row>
    <row r="136" spans="1:15" ht="16" thickBot="1" x14ac:dyDescent="0.4">
      <c r="A136" s="4" t="s">
        <v>18</v>
      </c>
      <c r="B136" s="27">
        <f>B115*0.65</f>
        <v>9.1910000000000006E-2</v>
      </c>
      <c r="C136" s="27">
        <f t="shared" ref="C136:G136" si="4">C115*0.65</f>
        <v>9.1910000000000006E-2</v>
      </c>
      <c r="D136" s="27">
        <f t="shared" si="4"/>
        <v>9.1910000000000006E-2</v>
      </c>
      <c r="E136" s="27">
        <f t="shared" si="4"/>
        <v>5.3307800000000009E-2</v>
      </c>
      <c r="F136" s="27">
        <f t="shared" si="4"/>
        <v>5.3307800000000009E-2</v>
      </c>
      <c r="G136" s="27">
        <f t="shared" si="4"/>
        <v>3.7683100000000004E-2</v>
      </c>
      <c r="I136" s="72" t="s">
        <v>18</v>
      </c>
      <c r="J136" s="27">
        <f>B136*0.75</f>
        <v>6.8932500000000008E-2</v>
      </c>
      <c r="K136" s="27">
        <f t="shared" ref="K136:O142" si="5">C136*0.75</f>
        <v>6.8932500000000008E-2</v>
      </c>
      <c r="L136" s="27">
        <f t="shared" si="5"/>
        <v>6.8932500000000008E-2</v>
      </c>
      <c r="M136" s="27">
        <f t="shared" si="5"/>
        <v>3.9980850000000005E-2</v>
      </c>
      <c r="N136" s="27">
        <f t="shared" si="5"/>
        <v>3.9980850000000005E-2</v>
      </c>
      <c r="O136" s="27">
        <f t="shared" si="5"/>
        <v>2.8262325000000005E-2</v>
      </c>
    </row>
    <row r="137" spans="1:15" ht="16" thickBot="1" x14ac:dyDescent="0.4">
      <c r="A137" s="4" t="s">
        <v>19</v>
      </c>
      <c r="B137" s="27">
        <f t="shared" ref="B137:G142" si="6">B116*0.65</f>
        <v>0.18070000000000003</v>
      </c>
      <c r="C137" s="27">
        <f t="shared" si="6"/>
        <v>0.18070000000000003</v>
      </c>
      <c r="D137" s="27">
        <f t="shared" si="6"/>
        <v>0.18070000000000003</v>
      </c>
      <c r="E137" s="27">
        <f t="shared" si="6"/>
        <v>0.10480600000000002</v>
      </c>
      <c r="F137" s="27">
        <f t="shared" si="6"/>
        <v>0.10480600000000002</v>
      </c>
      <c r="G137" s="27">
        <f t="shared" si="6"/>
        <v>7.4087000000000014E-2</v>
      </c>
      <c r="I137" s="72" t="s">
        <v>19</v>
      </c>
      <c r="J137" s="27">
        <f t="shared" ref="J137:J142" si="7">B137*0.75</f>
        <v>0.13552500000000001</v>
      </c>
      <c r="K137" s="27">
        <f t="shared" si="5"/>
        <v>0.13552500000000001</v>
      </c>
      <c r="L137" s="27">
        <f t="shared" si="5"/>
        <v>0.13552500000000001</v>
      </c>
      <c r="M137" s="27">
        <f t="shared" si="5"/>
        <v>7.8604500000000022E-2</v>
      </c>
      <c r="N137" s="27">
        <f t="shared" si="5"/>
        <v>7.8604500000000022E-2</v>
      </c>
      <c r="O137" s="27">
        <f t="shared" si="5"/>
        <v>5.556525000000001E-2</v>
      </c>
    </row>
    <row r="138" spans="1:15" ht="16" thickBot="1" x14ac:dyDescent="0.4">
      <c r="A138" s="4" t="s">
        <v>20</v>
      </c>
      <c r="B138" s="27">
        <f t="shared" si="6"/>
        <v>0.18434000000000003</v>
      </c>
      <c r="C138" s="27">
        <f t="shared" si="6"/>
        <v>0.18434000000000003</v>
      </c>
      <c r="D138" s="27">
        <f t="shared" si="6"/>
        <v>0.18434000000000003</v>
      </c>
      <c r="E138" s="27">
        <f t="shared" si="6"/>
        <v>0.10691720000000002</v>
      </c>
      <c r="F138" s="27">
        <f t="shared" si="6"/>
        <v>0.10691720000000002</v>
      </c>
      <c r="G138" s="27">
        <f t="shared" si="6"/>
        <v>7.5579400000000019E-2</v>
      </c>
      <c r="I138" s="72" t="s">
        <v>20</v>
      </c>
      <c r="J138" s="27">
        <f t="shared" si="7"/>
        <v>0.13825500000000002</v>
      </c>
      <c r="K138" s="27">
        <f t="shared" si="5"/>
        <v>0.13825500000000002</v>
      </c>
      <c r="L138" s="27">
        <f t="shared" si="5"/>
        <v>0.13825500000000002</v>
      </c>
      <c r="M138" s="27">
        <f t="shared" si="5"/>
        <v>8.0187900000000006E-2</v>
      </c>
      <c r="N138" s="27">
        <f t="shared" si="5"/>
        <v>8.0187900000000006E-2</v>
      </c>
      <c r="O138" s="27">
        <f t="shared" si="5"/>
        <v>5.6684550000000014E-2</v>
      </c>
    </row>
    <row r="139" spans="1:15" ht="16" thickBot="1" x14ac:dyDescent="0.4">
      <c r="A139" s="4" t="s">
        <v>23</v>
      </c>
      <c r="B139" s="27">
        <f t="shared" si="6"/>
        <v>0.13728000000000001</v>
      </c>
      <c r="C139" s="27">
        <f t="shared" si="6"/>
        <v>0.13728000000000001</v>
      </c>
      <c r="D139" s="27">
        <f t="shared" si="6"/>
        <v>0.13728000000000001</v>
      </c>
      <c r="E139" s="27">
        <f t="shared" si="6"/>
        <v>7.962240000000001E-2</v>
      </c>
      <c r="F139" s="27">
        <f t="shared" si="6"/>
        <v>7.962240000000001E-2</v>
      </c>
      <c r="G139" s="27">
        <f t="shared" si="6"/>
        <v>5.6284800000000003E-2</v>
      </c>
      <c r="I139" s="72" t="s">
        <v>23</v>
      </c>
      <c r="J139" s="27">
        <f t="shared" si="7"/>
        <v>0.10296000000000001</v>
      </c>
      <c r="K139" s="27">
        <f t="shared" si="5"/>
        <v>0.10296000000000001</v>
      </c>
      <c r="L139" s="27">
        <f t="shared" si="5"/>
        <v>0.10296000000000001</v>
      </c>
      <c r="M139" s="27">
        <f t="shared" si="5"/>
        <v>5.9716800000000007E-2</v>
      </c>
      <c r="N139" s="27">
        <f t="shared" si="5"/>
        <v>5.9716800000000007E-2</v>
      </c>
      <c r="O139" s="27">
        <f t="shared" si="5"/>
        <v>4.2213600000000004E-2</v>
      </c>
    </row>
    <row r="140" spans="1:15" ht="16" thickBot="1" x14ac:dyDescent="0.4">
      <c r="A140" s="4" t="s">
        <v>22</v>
      </c>
      <c r="B140" s="27">
        <f t="shared" si="6"/>
        <v>8.7620000000000003E-2</v>
      </c>
      <c r="C140" s="27">
        <f t="shared" si="6"/>
        <v>8.7620000000000003E-2</v>
      </c>
      <c r="D140" s="27">
        <f t="shared" si="6"/>
        <v>8.7620000000000003E-2</v>
      </c>
      <c r="E140" s="27">
        <f t="shared" si="6"/>
        <v>5.0819600000000013E-2</v>
      </c>
      <c r="F140" s="27">
        <f t="shared" si="6"/>
        <v>5.0819600000000013E-2</v>
      </c>
      <c r="G140" s="27">
        <f t="shared" si="6"/>
        <v>3.5924200000000003E-2</v>
      </c>
      <c r="I140" s="72" t="s">
        <v>22</v>
      </c>
      <c r="J140" s="27">
        <f t="shared" si="7"/>
        <v>6.5714999999999996E-2</v>
      </c>
      <c r="K140" s="27">
        <f t="shared" si="5"/>
        <v>6.5714999999999996E-2</v>
      </c>
      <c r="L140" s="27">
        <f t="shared" si="5"/>
        <v>6.5714999999999996E-2</v>
      </c>
      <c r="M140" s="27">
        <f t="shared" si="5"/>
        <v>3.8114700000000008E-2</v>
      </c>
      <c r="N140" s="27">
        <f t="shared" si="5"/>
        <v>3.8114700000000008E-2</v>
      </c>
      <c r="O140" s="27">
        <f t="shared" si="5"/>
        <v>2.6943150000000003E-2</v>
      </c>
    </row>
    <row r="141" spans="1:15" ht="16" thickBot="1" x14ac:dyDescent="0.4">
      <c r="A141" s="4" t="s">
        <v>24</v>
      </c>
      <c r="B141" s="27">
        <f t="shared" si="6"/>
        <v>3.5230000000000004E-2</v>
      </c>
      <c r="C141" s="27">
        <f t="shared" si="6"/>
        <v>3.5230000000000004E-2</v>
      </c>
      <c r="D141" s="27">
        <f t="shared" si="6"/>
        <v>3.5230000000000004E-2</v>
      </c>
      <c r="E141" s="27">
        <f t="shared" si="6"/>
        <v>2.0433400000000004E-2</v>
      </c>
      <c r="F141" s="27">
        <f t="shared" si="6"/>
        <v>2.0433400000000004E-2</v>
      </c>
      <c r="G141" s="27">
        <f t="shared" si="6"/>
        <v>1.4444300000000002E-2</v>
      </c>
      <c r="I141" s="72" t="s">
        <v>24</v>
      </c>
      <c r="J141" s="27">
        <f t="shared" si="7"/>
        <v>2.6422500000000002E-2</v>
      </c>
      <c r="K141" s="27">
        <f t="shared" si="5"/>
        <v>2.6422500000000002E-2</v>
      </c>
      <c r="L141" s="27">
        <f t="shared" si="5"/>
        <v>2.6422500000000002E-2</v>
      </c>
      <c r="M141" s="27">
        <f t="shared" si="5"/>
        <v>1.5325050000000003E-2</v>
      </c>
      <c r="N141" s="27">
        <f t="shared" si="5"/>
        <v>1.5325050000000003E-2</v>
      </c>
      <c r="O141" s="27">
        <f t="shared" si="5"/>
        <v>1.0833225000000002E-2</v>
      </c>
    </row>
    <row r="142" spans="1:15" ht="16" thickBot="1" x14ac:dyDescent="0.4">
      <c r="A142" s="4" t="s">
        <v>25</v>
      </c>
      <c r="B142" s="27">
        <f t="shared" si="6"/>
        <v>1.1440000000000001E-2</v>
      </c>
      <c r="C142" s="27">
        <f t="shared" si="6"/>
        <v>1.1440000000000001E-2</v>
      </c>
      <c r="D142" s="27">
        <f t="shared" si="6"/>
        <v>1.1440000000000001E-2</v>
      </c>
      <c r="E142" s="27">
        <f t="shared" si="6"/>
        <v>6.6352000000000017E-3</v>
      </c>
      <c r="F142" s="27">
        <f t="shared" si="6"/>
        <v>6.6352000000000017E-3</v>
      </c>
      <c r="G142" s="27">
        <f t="shared" si="6"/>
        <v>4.6904000000000008E-3</v>
      </c>
      <c r="I142" s="72" t="s">
        <v>25</v>
      </c>
      <c r="J142" s="27">
        <f t="shared" si="7"/>
        <v>8.5800000000000008E-3</v>
      </c>
      <c r="K142" s="27">
        <f t="shared" si="5"/>
        <v>8.5800000000000008E-3</v>
      </c>
      <c r="L142" s="27">
        <f t="shared" si="5"/>
        <v>8.5800000000000008E-3</v>
      </c>
      <c r="M142" s="27">
        <f t="shared" si="5"/>
        <v>4.9764000000000015E-3</v>
      </c>
      <c r="N142" s="27">
        <f t="shared" si="5"/>
        <v>4.9764000000000015E-3</v>
      </c>
      <c r="O142" s="27">
        <f t="shared" si="5"/>
        <v>3.5178000000000006E-3</v>
      </c>
    </row>
    <row r="143" spans="1:15" ht="16" thickBot="1" x14ac:dyDescent="0.4">
      <c r="A143" s="4" t="s">
        <v>26</v>
      </c>
      <c r="B143" s="27">
        <v>0</v>
      </c>
      <c r="C143" s="27">
        <v>0</v>
      </c>
      <c r="D143" s="27">
        <v>0</v>
      </c>
      <c r="E143" s="27">
        <v>0</v>
      </c>
      <c r="F143" s="27">
        <v>0</v>
      </c>
      <c r="G143" s="27">
        <v>0</v>
      </c>
      <c r="I143" s="72" t="s">
        <v>26</v>
      </c>
      <c r="J143" s="27">
        <v>0</v>
      </c>
      <c r="K143" s="27">
        <v>0</v>
      </c>
      <c r="L143" s="27">
        <v>0</v>
      </c>
      <c r="M143" s="27">
        <v>0</v>
      </c>
      <c r="N143" s="27">
        <v>0</v>
      </c>
      <c r="O143" s="27">
        <v>0</v>
      </c>
    </row>
    <row r="144" spans="1:15" ht="16" thickBot="1" x14ac:dyDescent="0.4">
      <c r="A144" s="4" t="s">
        <v>27</v>
      </c>
      <c r="B144" s="27">
        <v>0</v>
      </c>
      <c r="C144" s="27">
        <v>0</v>
      </c>
      <c r="D144" s="27">
        <v>0</v>
      </c>
      <c r="E144" s="27">
        <v>0</v>
      </c>
      <c r="F144" s="27">
        <v>0</v>
      </c>
      <c r="G144" s="27">
        <v>0</v>
      </c>
      <c r="I144" s="72" t="s">
        <v>27</v>
      </c>
      <c r="J144" s="27">
        <v>0</v>
      </c>
      <c r="K144" s="27">
        <v>0</v>
      </c>
      <c r="L144" s="27">
        <v>0</v>
      </c>
      <c r="M144" s="27">
        <v>0</v>
      </c>
      <c r="N144" s="27">
        <v>0</v>
      </c>
      <c r="O144" s="27">
        <v>0</v>
      </c>
    </row>
    <row r="145" spans="1:23" ht="15.5" x14ac:dyDescent="0.35">
      <c r="A145" s="21" t="s">
        <v>49</v>
      </c>
      <c r="B145" s="27">
        <v>0</v>
      </c>
      <c r="C145" s="27">
        <v>0</v>
      </c>
      <c r="D145" s="27">
        <v>0</v>
      </c>
      <c r="E145" s="27">
        <v>0</v>
      </c>
      <c r="F145" s="27">
        <v>0</v>
      </c>
      <c r="G145" s="27">
        <v>0</v>
      </c>
      <c r="I145" s="21" t="s">
        <v>49</v>
      </c>
      <c r="J145" s="27">
        <v>0</v>
      </c>
      <c r="K145" s="27">
        <v>0</v>
      </c>
      <c r="L145" s="27">
        <v>0</v>
      </c>
      <c r="M145" s="27">
        <v>0</v>
      </c>
      <c r="N145" s="27">
        <v>0</v>
      </c>
      <c r="O145" s="27">
        <v>0</v>
      </c>
    </row>
    <row r="146" spans="1:23" ht="15.5" x14ac:dyDescent="0.35">
      <c r="A146" s="21" t="s">
        <v>50</v>
      </c>
      <c r="B146" s="27">
        <v>0</v>
      </c>
      <c r="C146" s="27">
        <v>0</v>
      </c>
      <c r="D146" s="27">
        <v>0</v>
      </c>
      <c r="E146" s="27">
        <v>0</v>
      </c>
      <c r="F146" s="27">
        <v>0</v>
      </c>
      <c r="G146" s="27">
        <v>0</v>
      </c>
      <c r="I146" s="21" t="s">
        <v>50</v>
      </c>
      <c r="J146" s="27">
        <v>0</v>
      </c>
      <c r="K146" s="27">
        <v>0</v>
      </c>
      <c r="L146" s="27">
        <v>0</v>
      </c>
      <c r="M146" s="27">
        <v>0</v>
      </c>
      <c r="N146" s="27">
        <v>0</v>
      </c>
      <c r="O146" s="27">
        <v>0</v>
      </c>
    </row>
    <row r="147" spans="1:23" ht="15.5" x14ac:dyDescent="0.35">
      <c r="A147" s="21" t="s">
        <v>51</v>
      </c>
      <c r="B147" s="27">
        <v>0</v>
      </c>
      <c r="C147" s="27">
        <v>0</v>
      </c>
      <c r="D147" s="27">
        <v>0</v>
      </c>
      <c r="E147" s="27">
        <v>0</v>
      </c>
      <c r="F147" s="27">
        <v>0</v>
      </c>
      <c r="G147" s="27">
        <v>0</v>
      </c>
      <c r="I147" s="21" t="s">
        <v>51</v>
      </c>
      <c r="J147" s="27">
        <v>0</v>
      </c>
      <c r="K147" s="27">
        <v>0</v>
      </c>
      <c r="L147" s="27">
        <v>0</v>
      </c>
      <c r="M147" s="27">
        <v>0</v>
      </c>
      <c r="N147" s="27">
        <v>0</v>
      </c>
      <c r="O147" s="27">
        <v>0</v>
      </c>
    </row>
    <row r="148" spans="1:23" ht="15.5" x14ac:dyDescent="0.35">
      <c r="A148" s="21" t="s">
        <v>52</v>
      </c>
      <c r="B148" s="27">
        <v>0</v>
      </c>
      <c r="C148" s="27">
        <v>0</v>
      </c>
      <c r="D148" s="27">
        <v>0</v>
      </c>
      <c r="E148" s="27">
        <v>0</v>
      </c>
      <c r="F148" s="27">
        <v>0</v>
      </c>
      <c r="G148" s="27">
        <v>0</v>
      </c>
      <c r="I148" s="21" t="s">
        <v>52</v>
      </c>
      <c r="J148" s="27">
        <v>0</v>
      </c>
      <c r="K148" s="27">
        <v>0</v>
      </c>
      <c r="L148" s="27">
        <v>0</v>
      </c>
      <c r="M148" s="27">
        <v>0</v>
      </c>
      <c r="N148" s="27">
        <v>0</v>
      </c>
      <c r="O148" s="27">
        <v>0</v>
      </c>
    </row>
    <row r="149" spans="1:23" x14ac:dyDescent="0.35">
      <c r="B149">
        <f t="shared" ref="B149:G149" si="8">5*SUM(B133:B148)</f>
        <v>3.6426000000000003</v>
      </c>
      <c r="C149">
        <f t="shared" si="8"/>
        <v>3.6426000000000003</v>
      </c>
      <c r="D149">
        <f t="shared" si="8"/>
        <v>3.6426000000000003</v>
      </c>
      <c r="E149">
        <f t="shared" si="8"/>
        <v>2.112708</v>
      </c>
      <c r="F149">
        <f t="shared" si="8"/>
        <v>2.112708</v>
      </c>
      <c r="G149">
        <f t="shared" si="8"/>
        <v>1.4934660000000002</v>
      </c>
      <c r="J149">
        <f t="shared" ref="J149:O149" si="9">5*SUM(J133:J148)</f>
        <v>2.7319500000000003</v>
      </c>
      <c r="K149">
        <f t="shared" si="9"/>
        <v>2.7319500000000003</v>
      </c>
      <c r="L149">
        <f t="shared" si="9"/>
        <v>2.7319500000000003</v>
      </c>
      <c r="M149">
        <f t="shared" si="9"/>
        <v>1.5845310000000001</v>
      </c>
      <c r="N149">
        <f t="shared" si="9"/>
        <v>1.5845310000000001</v>
      </c>
      <c r="O149">
        <f t="shared" si="9"/>
        <v>1.1200995000000002</v>
      </c>
    </row>
    <row r="155" spans="1:23" ht="15.5" x14ac:dyDescent="0.35">
      <c r="A155" s="49" t="s">
        <v>85</v>
      </c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</row>
    <row r="156" spans="1:23" ht="15.5" x14ac:dyDescent="0.35">
      <c r="A156" s="51" t="s">
        <v>69</v>
      </c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</row>
    <row r="157" spans="1:23" ht="16" thickBot="1" x14ac:dyDescent="0.4">
      <c r="A157" s="49" t="s">
        <v>86</v>
      </c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</row>
    <row r="158" spans="1:23" ht="31" thickBot="1" x14ac:dyDescent="0.4">
      <c r="A158" s="3" t="s">
        <v>5</v>
      </c>
      <c r="B158" s="106" t="s">
        <v>0</v>
      </c>
      <c r="C158" s="107"/>
      <c r="D158" s="108"/>
      <c r="E158" s="106" t="s">
        <v>1</v>
      </c>
      <c r="F158" s="107"/>
      <c r="G158" s="108"/>
    </row>
    <row r="159" spans="1:23" ht="31.5" thickBot="1" x14ac:dyDescent="0.4">
      <c r="A159" s="6"/>
      <c r="B159" s="7" t="s">
        <v>6</v>
      </c>
      <c r="C159" s="7" t="s">
        <v>7</v>
      </c>
      <c r="D159" s="7" t="s">
        <v>8</v>
      </c>
      <c r="E159" s="7" t="s">
        <v>6</v>
      </c>
      <c r="F159" s="7" t="s">
        <v>7</v>
      </c>
      <c r="G159" s="19" t="s">
        <v>8</v>
      </c>
    </row>
    <row r="160" spans="1:23" ht="16" thickBot="1" x14ac:dyDescent="0.4">
      <c r="A160" s="4" t="s">
        <v>11</v>
      </c>
      <c r="B160" s="40">
        <f t="shared" ref="B160:G161" si="10">10^-5</f>
        <v>1.0000000000000001E-5</v>
      </c>
      <c r="C160" s="40">
        <f t="shared" si="10"/>
        <v>1.0000000000000001E-5</v>
      </c>
      <c r="D160" s="40">
        <f t="shared" si="10"/>
        <v>1.0000000000000001E-5</v>
      </c>
      <c r="E160" s="40">
        <f>10^-5</f>
        <v>1.0000000000000001E-5</v>
      </c>
      <c r="F160" s="40">
        <f t="shared" si="10"/>
        <v>1.0000000000000001E-5</v>
      </c>
      <c r="G160" s="40">
        <f t="shared" si="10"/>
        <v>1.0000000000000001E-5</v>
      </c>
      <c r="J160">
        <f>B160*B54</f>
        <v>1.0000000000000001E-5</v>
      </c>
      <c r="K160">
        <f t="shared" ref="K160:L175" si="11">C160*C54</f>
        <v>0</v>
      </c>
      <c r="L160">
        <f t="shared" si="11"/>
        <v>0</v>
      </c>
    </row>
    <row r="161" spans="1:14" ht="16" thickBot="1" x14ac:dyDescent="0.4">
      <c r="A161" s="4" t="s">
        <v>14</v>
      </c>
      <c r="B161" s="40">
        <f t="shared" si="10"/>
        <v>1.0000000000000001E-5</v>
      </c>
      <c r="C161" s="40">
        <f t="shared" si="10"/>
        <v>1.0000000000000001E-5</v>
      </c>
      <c r="D161" s="40">
        <f t="shared" si="10"/>
        <v>1.0000000000000001E-5</v>
      </c>
      <c r="E161" s="40">
        <f t="shared" si="10"/>
        <v>1.0000000000000001E-5</v>
      </c>
      <c r="F161" s="40">
        <f t="shared" si="10"/>
        <v>1.0000000000000001E-5</v>
      </c>
      <c r="G161" s="40">
        <f t="shared" si="10"/>
        <v>1.0000000000000001E-5</v>
      </c>
      <c r="J161">
        <f t="shared" ref="J161:J175" si="12">B161*B55</f>
        <v>1.0000000000000001E-5</v>
      </c>
      <c r="K161">
        <f t="shared" si="11"/>
        <v>0</v>
      </c>
      <c r="L161">
        <f t="shared" si="11"/>
        <v>0</v>
      </c>
    </row>
    <row r="162" spans="1:14" ht="16" thickBot="1" x14ac:dyDescent="0.4">
      <c r="A162" s="4" t="s">
        <v>17</v>
      </c>
      <c r="B162" s="40">
        <v>1.2E-2</v>
      </c>
      <c r="C162" s="40">
        <v>0.12</v>
      </c>
      <c r="D162" s="40">
        <v>1.2</v>
      </c>
      <c r="E162" s="40">
        <v>1.2E-2</v>
      </c>
      <c r="F162" s="41">
        <v>0.12</v>
      </c>
      <c r="G162" s="42">
        <v>1.2</v>
      </c>
      <c r="J162">
        <f t="shared" si="12"/>
        <v>1.176E-2</v>
      </c>
      <c r="K162">
        <f t="shared" si="11"/>
        <v>1.8E-3</v>
      </c>
      <c r="L162">
        <f t="shared" si="11"/>
        <v>6.0000000000000218E-3</v>
      </c>
      <c r="M162">
        <f>SUM(J162:L162)</f>
        <v>1.9560000000000022E-2</v>
      </c>
      <c r="N162">
        <f>1/M162</f>
        <v>51.124744376278059</v>
      </c>
    </row>
    <row r="163" spans="1:14" ht="16" thickBot="1" x14ac:dyDescent="0.4">
      <c r="A163" s="4" t="s">
        <v>18</v>
      </c>
      <c r="B163" s="40">
        <v>0.66369047619047616</v>
      </c>
      <c r="C163" s="40">
        <v>2.553903345724907</v>
      </c>
      <c r="D163" s="40">
        <v>6.9636363636363638</v>
      </c>
      <c r="E163" s="40">
        <v>0.66959798994974873</v>
      </c>
      <c r="F163" s="41">
        <v>2.2142857142857144</v>
      </c>
      <c r="G163" s="43">
        <v>6.5</v>
      </c>
      <c r="J163">
        <f t="shared" si="12"/>
        <v>0.33787878787878783</v>
      </c>
      <c r="K163">
        <f t="shared" si="11"/>
        <v>1.040909090909091</v>
      </c>
      <c r="L163">
        <f t="shared" si="11"/>
        <v>0.58030303030303021</v>
      </c>
      <c r="M163">
        <f t="shared" ref="M163:M175" si="13">SUM(J163:L163)</f>
        <v>1.959090909090909</v>
      </c>
      <c r="N163">
        <f t="shared" ref="N163:N175" si="14">1/M163</f>
        <v>0.51044083526682138</v>
      </c>
    </row>
    <row r="164" spans="1:14" ht="16" thickBot="1" x14ac:dyDescent="0.4">
      <c r="A164" s="4" t="s">
        <v>19</v>
      </c>
      <c r="B164" s="40">
        <v>0.70326409495548958</v>
      </c>
      <c r="C164" s="40">
        <v>2.5474683544303796</v>
      </c>
      <c r="D164" s="40">
        <v>7.6721311475409832</v>
      </c>
      <c r="E164" s="40">
        <v>0.79487179487179482</v>
      </c>
      <c r="F164" s="41">
        <v>2.25</v>
      </c>
      <c r="G164" s="43">
        <v>10</v>
      </c>
      <c r="J164">
        <f t="shared" si="12"/>
        <v>0.33193277310924363</v>
      </c>
      <c r="K164">
        <f t="shared" si="11"/>
        <v>1.1274509803921566</v>
      </c>
      <c r="L164">
        <f t="shared" si="11"/>
        <v>0.65546218487394958</v>
      </c>
      <c r="M164">
        <f t="shared" si="13"/>
        <v>2.1148459383753497</v>
      </c>
      <c r="N164">
        <f t="shared" si="14"/>
        <v>0.47284768211920541</v>
      </c>
    </row>
    <row r="165" spans="1:14" ht="16" thickBot="1" x14ac:dyDescent="0.4">
      <c r="A165" s="4" t="s">
        <v>20</v>
      </c>
      <c r="B165" s="40">
        <v>0.77027027027027029</v>
      </c>
      <c r="C165" s="40">
        <v>2.564245810055866</v>
      </c>
      <c r="D165" s="40">
        <v>6.9705882352941178</v>
      </c>
      <c r="E165" s="40">
        <v>0.80509304603330067</v>
      </c>
      <c r="F165" s="41">
        <v>2.2666666666666666</v>
      </c>
      <c r="G165" s="43">
        <v>5.333333333333333</v>
      </c>
      <c r="J165">
        <f t="shared" si="12"/>
        <v>0.39310344827586208</v>
      </c>
      <c r="K165">
        <f t="shared" si="11"/>
        <v>1.0551724137931036</v>
      </c>
      <c r="L165">
        <f t="shared" si="11"/>
        <v>0.54482758620689653</v>
      </c>
      <c r="M165">
        <f t="shared" si="13"/>
        <v>1.9931034482758623</v>
      </c>
      <c r="N165">
        <f t="shared" si="14"/>
        <v>0.50173010380622829</v>
      </c>
    </row>
    <row r="166" spans="1:14" ht="16" thickBot="1" x14ac:dyDescent="0.4">
      <c r="A166" s="4" t="s">
        <v>23</v>
      </c>
      <c r="B166" s="40">
        <v>0.7710280373831776</v>
      </c>
      <c r="C166" s="40">
        <v>2.4793388429752068</v>
      </c>
      <c r="D166" s="40">
        <v>5.8421052631578947</v>
      </c>
      <c r="E166" s="40">
        <v>0.75512405609492983</v>
      </c>
      <c r="F166" s="41">
        <v>2.0625</v>
      </c>
      <c r="G166" s="43">
        <v>1</v>
      </c>
      <c r="J166">
        <f t="shared" si="12"/>
        <v>0.46610169491525422</v>
      </c>
      <c r="K166">
        <f t="shared" si="11"/>
        <v>0.84745762711864414</v>
      </c>
      <c r="L166">
        <f t="shared" si="11"/>
        <v>0.3135593220338983</v>
      </c>
      <c r="M166">
        <f t="shared" si="13"/>
        <v>1.6271186440677967</v>
      </c>
      <c r="N166">
        <f t="shared" si="14"/>
        <v>0.61458333333333326</v>
      </c>
    </row>
    <row r="167" spans="1:14" ht="16" thickBot="1" x14ac:dyDescent="0.4">
      <c r="A167" s="4" t="s">
        <v>22</v>
      </c>
      <c r="B167" s="40">
        <v>0.77927927927927931</v>
      </c>
      <c r="C167" s="40">
        <v>2.406779661016949</v>
      </c>
      <c r="D167" s="40">
        <v>6.2222222222222223</v>
      </c>
      <c r="E167" s="40">
        <v>0.75529411764705878</v>
      </c>
      <c r="F167" s="41">
        <v>2.2666666666666666</v>
      </c>
      <c r="G167" s="43">
        <v>9</v>
      </c>
      <c r="J167">
        <f t="shared" si="12"/>
        <v>0.59655172413793101</v>
      </c>
      <c r="K167">
        <f t="shared" si="11"/>
        <v>0.48965517241379303</v>
      </c>
      <c r="L167">
        <f t="shared" si="11"/>
        <v>0.19310344827586207</v>
      </c>
      <c r="M167">
        <f t="shared" si="13"/>
        <v>1.279310344827586</v>
      </c>
      <c r="N167">
        <f t="shared" si="14"/>
        <v>0.78167115902964968</v>
      </c>
    </row>
    <row r="168" spans="1:14" ht="16" thickBot="1" x14ac:dyDescent="0.4">
      <c r="A168" s="4" t="s">
        <v>24</v>
      </c>
      <c r="B168" s="40">
        <v>0.84188034188034189</v>
      </c>
      <c r="C168" s="40">
        <v>2.4166666666666665</v>
      </c>
      <c r="D168" s="40">
        <v>7.75</v>
      </c>
      <c r="E168" s="40">
        <v>0.68708971553610498</v>
      </c>
      <c r="F168" s="41">
        <v>2.2666666666666666</v>
      </c>
      <c r="G168" s="43">
        <v>1</v>
      </c>
      <c r="J168">
        <f t="shared" si="12"/>
        <v>0.68881118881118875</v>
      </c>
      <c r="K168">
        <f t="shared" si="11"/>
        <v>0.40559440559440557</v>
      </c>
      <c r="L168">
        <f t="shared" si="11"/>
        <v>0.10839160839160839</v>
      </c>
      <c r="M168">
        <f t="shared" si="13"/>
        <v>1.2027972027972027</v>
      </c>
      <c r="N168">
        <f t="shared" si="14"/>
        <v>0.83139534883720934</v>
      </c>
    </row>
    <row r="169" spans="1:14" ht="16" thickBot="1" x14ac:dyDescent="0.4">
      <c r="A169" s="4" t="s">
        <v>25</v>
      </c>
      <c r="B169" s="40">
        <v>0.7192982456140351</v>
      </c>
      <c r="C169" s="40">
        <v>2.3250000000000002</v>
      </c>
      <c r="D169" s="40">
        <v>1</v>
      </c>
      <c r="E169" s="40">
        <v>0.68708971553610498</v>
      </c>
      <c r="F169" s="41">
        <v>2.2666666666666666</v>
      </c>
      <c r="G169" s="43">
        <v>1</v>
      </c>
      <c r="J169">
        <f t="shared" si="12"/>
        <v>0.61194029850746268</v>
      </c>
      <c r="K169">
        <f t="shared" si="11"/>
        <v>0.34468992537313536</v>
      </c>
      <c r="L169">
        <f t="shared" si="11"/>
        <v>1E-3</v>
      </c>
      <c r="M169">
        <f t="shared" si="13"/>
        <v>0.95763022388059804</v>
      </c>
      <c r="N169">
        <f t="shared" si="14"/>
        <v>1.0442444015057371</v>
      </c>
    </row>
    <row r="170" spans="1:14" ht="16" thickBot="1" x14ac:dyDescent="0.4">
      <c r="A170" s="4" t="s">
        <v>26</v>
      </c>
      <c r="B170" s="40">
        <v>0.7192982456140351</v>
      </c>
      <c r="C170" s="40">
        <v>2.3250000000000002</v>
      </c>
      <c r="D170" s="40">
        <v>1</v>
      </c>
      <c r="E170" s="40">
        <v>0.68708971553610498</v>
      </c>
      <c r="F170" s="41">
        <v>2.2666666666666666</v>
      </c>
      <c r="G170" s="43">
        <v>1</v>
      </c>
      <c r="J170">
        <f t="shared" si="12"/>
        <v>0.61194029850746268</v>
      </c>
      <c r="K170">
        <f t="shared" si="11"/>
        <v>0.34468992537313536</v>
      </c>
      <c r="L170">
        <f t="shared" si="11"/>
        <v>1E-3</v>
      </c>
      <c r="M170">
        <f t="shared" si="13"/>
        <v>0.95763022388059804</v>
      </c>
      <c r="N170">
        <f t="shared" si="14"/>
        <v>1.0442444015057371</v>
      </c>
    </row>
    <row r="171" spans="1:14" ht="16" thickBot="1" x14ac:dyDescent="0.4">
      <c r="A171" s="4" t="s">
        <v>27</v>
      </c>
      <c r="B171" s="40">
        <v>0.7192982456140351</v>
      </c>
      <c r="C171" s="40">
        <v>2.3250000000000002</v>
      </c>
      <c r="D171" s="40">
        <v>1</v>
      </c>
      <c r="E171" s="40">
        <v>0.68708971553610498</v>
      </c>
      <c r="F171" s="41">
        <v>2.2666666666666666</v>
      </c>
      <c r="G171" s="43">
        <v>1</v>
      </c>
      <c r="J171">
        <f t="shared" si="12"/>
        <v>0.61194029850746268</v>
      </c>
      <c r="K171">
        <f t="shared" si="11"/>
        <v>0.34468992537313536</v>
      </c>
      <c r="L171">
        <f t="shared" si="11"/>
        <v>1E-3</v>
      </c>
      <c r="M171">
        <f t="shared" si="13"/>
        <v>0.95763022388059804</v>
      </c>
      <c r="N171">
        <f t="shared" si="14"/>
        <v>1.0442444015057371</v>
      </c>
    </row>
    <row r="172" spans="1:14" ht="16" thickBot="1" x14ac:dyDescent="0.4">
      <c r="A172" s="21" t="s">
        <v>49</v>
      </c>
      <c r="B172" s="40">
        <v>0.7192982456140351</v>
      </c>
      <c r="C172" s="40">
        <v>2.3250000000000002</v>
      </c>
      <c r="D172" s="40">
        <v>1</v>
      </c>
      <c r="E172" s="40">
        <v>0.68708971553610498</v>
      </c>
      <c r="F172" s="41">
        <v>2.2666666666666666</v>
      </c>
      <c r="G172" s="43">
        <v>1</v>
      </c>
      <c r="J172">
        <f t="shared" si="12"/>
        <v>0.61194029850746268</v>
      </c>
      <c r="K172">
        <f t="shared" si="11"/>
        <v>0.34468992537313536</v>
      </c>
      <c r="L172">
        <f t="shared" si="11"/>
        <v>1E-3</v>
      </c>
      <c r="M172">
        <f t="shared" si="13"/>
        <v>0.95763022388059804</v>
      </c>
      <c r="N172">
        <f t="shared" si="14"/>
        <v>1.0442444015057371</v>
      </c>
    </row>
    <row r="173" spans="1:14" ht="16" thickBot="1" x14ac:dyDescent="0.4">
      <c r="A173" s="21" t="s">
        <v>50</v>
      </c>
      <c r="B173" s="40">
        <v>0.7192982456140351</v>
      </c>
      <c r="C173" s="40">
        <v>2.3250000000000002</v>
      </c>
      <c r="D173" s="40">
        <v>1</v>
      </c>
      <c r="E173" s="40">
        <v>0.68708971553610498</v>
      </c>
      <c r="F173" s="41">
        <v>2.2666666666666666</v>
      </c>
      <c r="G173" s="43">
        <v>1</v>
      </c>
      <c r="J173">
        <f t="shared" si="12"/>
        <v>0.61194029850746268</v>
      </c>
      <c r="K173">
        <f t="shared" si="11"/>
        <v>0.34468992537313536</v>
      </c>
      <c r="L173">
        <f t="shared" si="11"/>
        <v>1E-3</v>
      </c>
      <c r="M173">
        <f t="shared" si="13"/>
        <v>0.95763022388059804</v>
      </c>
      <c r="N173">
        <f t="shared" si="14"/>
        <v>1.0442444015057371</v>
      </c>
    </row>
    <row r="174" spans="1:14" ht="16" thickBot="1" x14ac:dyDescent="0.4">
      <c r="A174" s="21" t="s">
        <v>51</v>
      </c>
      <c r="B174" s="40">
        <v>0.7192982456140351</v>
      </c>
      <c r="C174" s="40">
        <v>2.3250000000000002</v>
      </c>
      <c r="D174" s="40">
        <v>1</v>
      </c>
      <c r="E174" s="40">
        <v>0.68708971553610498</v>
      </c>
      <c r="F174" s="41">
        <v>2.2666666666666666</v>
      </c>
      <c r="G174" s="43">
        <v>1</v>
      </c>
      <c r="J174">
        <f t="shared" si="12"/>
        <v>0.61194029850746268</v>
      </c>
      <c r="K174">
        <f t="shared" si="11"/>
        <v>0.34468992537313536</v>
      </c>
      <c r="L174">
        <f t="shared" si="11"/>
        <v>1E-3</v>
      </c>
      <c r="M174">
        <f t="shared" si="13"/>
        <v>0.95763022388059804</v>
      </c>
      <c r="N174">
        <f t="shared" si="14"/>
        <v>1.0442444015057371</v>
      </c>
    </row>
    <row r="175" spans="1:14" ht="16" thickBot="1" x14ac:dyDescent="0.4">
      <c r="A175" s="21" t="s">
        <v>52</v>
      </c>
      <c r="B175" s="40">
        <v>0.7192982456140351</v>
      </c>
      <c r="C175" s="40">
        <v>2.3250000000000002</v>
      </c>
      <c r="D175" s="40">
        <v>1</v>
      </c>
      <c r="E175" s="40">
        <v>0.68708971553610498</v>
      </c>
      <c r="F175" s="41">
        <v>2.2666666666666666</v>
      </c>
      <c r="G175" s="43">
        <v>1</v>
      </c>
      <c r="H175">
        <f>SUM(B160:D175)/(3*16)</f>
        <v>1.8866801277495602</v>
      </c>
      <c r="J175">
        <f t="shared" si="12"/>
        <v>0.61194029850746268</v>
      </c>
      <c r="K175">
        <f t="shared" si="11"/>
        <v>0.34468992537313536</v>
      </c>
      <c r="L175">
        <f t="shared" si="11"/>
        <v>1E-3</v>
      </c>
      <c r="M175">
        <f t="shared" si="13"/>
        <v>0.95763022388059804</v>
      </c>
      <c r="N175">
        <f t="shared" si="14"/>
        <v>1.0442444015057371</v>
      </c>
    </row>
    <row r="176" spans="1:14" x14ac:dyDescent="0.35">
      <c r="A176" t="s">
        <v>37</v>
      </c>
      <c r="N176">
        <f>AVERAGE(N162:N175)</f>
        <v>4.4390802606579047</v>
      </c>
    </row>
    <row r="180" spans="1:23" ht="15.5" x14ac:dyDescent="0.35">
      <c r="A180" s="10"/>
    </row>
    <row r="182" spans="1:23" ht="15.5" x14ac:dyDescent="0.35">
      <c r="A182" s="49" t="s">
        <v>88</v>
      </c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</row>
    <row r="183" spans="1:23" ht="16" thickBot="1" x14ac:dyDescent="0.4">
      <c r="A183" s="109" t="s">
        <v>89</v>
      </c>
      <c r="B183" s="109"/>
      <c r="C183" s="109"/>
    </row>
    <row r="184" spans="1:23" ht="16" thickBot="1" x14ac:dyDescent="0.4">
      <c r="A184" s="1" t="s">
        <v>29</v>
      </c>
      <c r="B184" s="2" t="s">
        <v>9</v>
      </c>
      <c r="C184" s="2" t="s">
        <v>10</v>
      </c>
    </row>
    <row r="185" spans="1:23" ht="16" thickBot="1" x14ac:dyDescent="0.4">
      <c r="A185" s="15">
        <v>1985</v>
      </c>
      <c r="B185" s="26">
        <v>0.3</v>
      </c>
      <c r="C185" s="26">
        <v>0.3</v>
      </c>
    </row>
    <row r="186" spans="1:23" ht="16" thickBot="1" x14ac:dyDescent="0.4">
      <c r="A186" s="15">
        <v>1990</v>
      </c>
      <c r="B186" s="26">
        <v>0.4</v>
      </c>
      <c r="C186" s="26">
        <v>0.4</v>
      </c>
    </row>
    <row r="187" spans="1:23" ht="16" thickBot="1" x14ac:dyDescent="0.4">
      <c r="A187" s="15">
        <v>2000</v>
      </c>
      <c r="B187" s="26">
        <v>0.1</v>
      </c>
      <c r="C187" s="26">
        <v>0.1</v>
      </c>
    </row>
    <row r="194" spans="1:23" ht="15.5" x14ac:dyDescent="0.35">
      <c r="A194" s="49" t="s">
        <v>87</v>
      </c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</row>
    <row r="195" spans="1:23" s="52" customFormat="1" ht="15.5" x14ac:dyDescent="0.35">
      <c r="A195" s="97" t="s">
        <v>90</v>
      </c>
      <c r="B195" s="97"/>
      <c r="C195" s="97"/>
      <c r="D195" s="97"/>
      <c r="E195" s="97"/>
      <c r="F195" s="97"/>
    </row>
    <row r="196" spans="1:23" s="52" customFormat="1" ht="15.5" x14ac:dyDescent="0.35">
      <c r="A196" s="110" t="s">
        <v>91</v>
      </c>
      <c r="B196" s="110"/>
      <c r="C196" s="110"/>
      <c r="D196" s="110"/>
      <c r="E196" s="110"/>
      <c r="F196" s="110"/>
    </row>
    <row r="197" spans="1:23" ht="15.5" x14ac:dyDescent="0.35">
      <c r="A197" s="103" t="s">
        <v>53</v>
      </c>
      <c r="B197" s="59"/>
      <c r="C197" s="59"/>
      <c r="D197" s="103" t="s">
        <v>58</v>
      </c>
      <c r="E197" s="103"/>
      <c r="F197" s="103"/>
    </row>
    <row r="198" spans="1:23" ht="15.5" x14ac:dyDescent="0.35">
      <c r="A198" s="103"/>
      <c r="B198" s="59"/>
      <c r="C198" s="60" t="s">
        <v>54</v>
      </c>
      <c r="D198" s="60" t="s">
        <v>55</v>
      </c>
      <c r="E198" s="60" t="s">
        <v>56</v>
      </c>
      <c r="F198" s="60" t="s">
        <v>57</v>
      </c>
      <c r="H198">
        <f>(365.25/7)*2.4</f>
        <v>125.22857142857143</v>
      </c>
    </row>
    <row r="199" spans="1:23" ht="15.5" x14ac:dyDescent="0.35">
      <c r="A199" s="61" t="s">
        <v>31</v>
      </c>
      <c r="B199" s="59"/>
      <c r="C199" s="59"/>
      <c r="D199" s="62">
        <v>0</v>
      </c>
      <c r="E199" s="62">
        <v>0</v>
      </c>
      <c r="F199" s="62">
        <v>0</v>
      </c>
      <c r="H199">
        <f>D199*B54</f>
        <v>0</v>
      </c>
      <c r="I199">
        <f t="shared" ref="I199:J214" si="15">E199*C54</f>
        <v>0</v>
      </c>
      <c r="J199">
        <f t="shared" si="15"/>
        <v>0</v>
      </c>
    </row>
    <row r="200" spans="1:23" ht="15.5" x14ac:dyDescent="0.35">
      <c r="A200" s="61" t="s">
        <v>30</v>
      </c>
      <c r="B200" s="59"/>
      <c r="C200" s="59"/>
      <c r="D200" s="62">
        <v>0</v>
      </c>
      <c r="E200" s="62">
        <v>0</v>
      </c>
      <c r="F200" s="62">
        <v>0</v>
      </c>
      <c r="H200">
        <f t="shared" ref="H200:H214" si="16">D200*B55</f>
        <v>0</v>
      </c>
      <c r="I200">
        <f t="shared" si="15"/>
        <v>0</v>
      </c>
      <c r="J200">
        <f t="shared" si="15"/>
        <v>0</v>
      </c>
    </row>
    <row r="201" spans="1:23" ht="15.5" x14ac:dyDescent="0.35">
      <c r="A201" s="61" t="s">
        <v>39</v>
      </c>
      <c r="B201" s="59"/>
      <c r="C201" s="59">
        <v>0.05</v>
      </c>
      <c r="D201" s="63">
        <f>C201*D203</f>
        <v>3.1200000000000006</v>
      </c>
      <c r="E201" s="63">
        <f>E203*$C$201</f>
        <v>1.8719999999999999</v>
      </c>
      <c r="F201" s="63">
        <f>F203*$C$201</f>
        <v>1.1232</v>
      </c>
      <c r="H201">
        <f t="shared" si="16"/>
        <v>3.0576000000000003</v>
      </c>
      <c r="I201">
        <f t="shared" si="15"/>
        <v>2.8079999999999997E-2</v>
      </c>
      <c r="J201">
        <f t="shared" si="15"/>
        <v>5.6160000000000203E-3</v>
      </c>
      <c r="K201">
        <f>SUM(H201:J201)</f>
        <v>3.0912960000000003</v>
      </c>
    </row>
    <row r="202" spans="1:23" ht="15.5" x14ac:dyDescent="0.35">
      <c r="A202" s="61" t="s">
        <v>40</v>
      </c>
      <c r="B202" s="59"/>
      <c r="C202" s="59">
        <v>0.1</v>
      </c>
      <c r="D202" s="63">
        <f>D204*$C$202</f>
        <v>15.600000000000001</v>
      </c>
      <c r="E202" s="63">
        <f>E204*$C$202</f>
        <v>9.36</v>
      </c>
      <c r="F202" s="63">
        <f>F204*$C$202</f>
        <v>5.6159999999999997</v>
      </c>
      <c r="H202">
        <f t="shared" si="16"/>
        <v>7.9418181818181814</v>
      </c>
      <c r="I202">
        <f t="shared" si="15"/>
        <v>3.814909090909091</v>
      </c>
      <c r="J202">
        <f t="shared" si="15"/>
        <v>0.46799999999999986</v>
      </c>
      <c r="K202">
        <f t="shared" ref="K202:K214" si="17">SUM(H202:J202)</f>
        <v>12.224727272727272</v>
      </c>
    </row>
    <row r="203" spans="1:23" ht="15.5" x14ac:dyDescent="0.35">
      <c r="A203" s="61" t="s">
        <v>41</v>
      </c>
      <c r="B203" s="64">
        <v>1</v>
      </c>
      <c r="C203" s="59">
        <v>0.4</v>
      </c>
      <c r="D203" s="62">
        <f>D204*$C$203</f>
        <v>62.400000000000006</v>
      </c>
      <c r="E203" s="62">
        <f>E204*$C$203</f>
        <v>37.44</v>
      </c>
      <c r="F203" s="62">
        <f>F204*$C$203</f>
        <v>22.463999999999999</v>
      </c>
      <c r="H203">
        <f t="shared" si="16"/>
        <v>29.452100840336133</v>
      </c>
      <c r="I203">
        <f t="shared" si="15"/>
        <v>16.570084033613444</v>
      </c>
      <c r="J203">
        <f t="shared" si="15"/>
        <v>1.9191932773109244</v>
      </c>
      <c r="K203">
        <f t="shared" si="17"/>
        <v>47.941378151260501</v>
      </c>
    </row>
    <row r="204" spans="1:23" ht="15.5" x14ac:dyDescent="0.35">
      <c r="A204" s="61" t="s">
        <v>42</v>
      </c>
      <c r="B204" s="64">
        <v>5</v>
      </c>
      <c r="C204" s="65"/>
      <c r="D204" s="63">
        <f>B238</f>
        <v>156</v>
      </c>
      <c r="E204" s="63">
        <f>C238</f>
        <v>93.6</v>
      </c>
      <c r="F204" s="63">
        <f>D238</f>
        <v>56.16</v>
      </c>
      <c r="H204">
        <f t="shared" si="16"/>
        <v>79.613793103448273</v>
      </c>
      <c r="I204">
        <f t="shared" si="15"/>
        <v>38.515862068965518</v>
      </c>
      <c r="J204">
        <f t="shared" si="15"/>
        <v>4.38951724137931</v>
      </c>
      <c r="K204">
        <f t="shared" si="17"/>
        <v>122.5191724137931</v>
      </c>
    </row>
    <row r="205" spans="1:23" ht="15.5" x14ac:dyDescent="0.35">
      <c r="A205" s="61" t="s">
        <v>43</v>
      </c>
      <c r="B205" s="64">
        <v>10</v>
      </c>
      <c r="C205" s="59">
        <f t="shared" ref="C205:C214" si="18">EXP(LN(0.5)*B204/10)</f>
        <v>0.70710678118654757</v>
      </c>
      <c r="D205" s="63">
        <f t="shared" ref="D205:D210" si="19">$D$204*C205</f>
        <v>110.30865786510142</v>
      </c>
      <c r="E205" s="63">
        <f t="shared" ref="E205:E210" si="20">$E$204*C205</f>
        <v>66.185194719060846</v>
      </c>
      <c r="F205" s="63">
        <f t="shared" ref="F205:F210" si="21">$F$204*C205</f>
        <v>39.711116831436506</v>
      </c>
      <c r="H205">
        <f t="shared" si="16"/>
        <v>66.683764924100856</v>
      </c>
      <c r="I205">
        <f t="shared" si="15"/>
        <v>22.62262305369029</v>
      </c>
      <c r="J205">
        <f t="shared" si="15"/>
        <v>2.1313876265460272</v>
      </c>
      <c r="K205">
        <f t="shared" si="17"/>
        <v>91.437775604337176</v>
      </c>
      <c r="M205" s="52"/>
    </row>
    <row r="206" spans="1:23" ht="15.5" x14ac:dyDescent="0.35">
      <c r="A206" s="61" t="s">
        <v>44</v>
      </c>
      <c r="B206" s="64">
        <v>15</v>
      </c>
      <c r="C206" s="59">
        <f t="shared" si="18"/>
        <v>0.5</v>
      </c>
      <c r="D206" s="63">
        <f t="shared" si="19"/>
        <v>78</v>
      </c>
      <c r="E206" s="63">
        <f t="shared" si="20"/>
        <v>46.8</v>
      </c>
      <c r="F206" s="63">
        <f t="shared" si="21"/>
        <v>28.08</v>
      </c>
      <c r="H206">
        <f t="shared" si="16"/>
        <v>59.710344827586205</v>
      </c>
      <c r="I206">
        <f t="shared" si="15"/>
        <v>9.5213793103448268</v>
      </c>
      <c r="J206">
        <f t="shared" si="15"/>
        <v>0.87144827586206886</v>
      </c>
      <c r="K206">
        <f t="shared" si="17"/>
        <v>70.103172413793089</v>
      </c>
      <c r="N206" s="52"/>
      <c r="O206" s="52"/>
      <c r="P206" s="52"/>
    </row>
    <row r="207" spans="1:23" ht="15.5" x14ac:dyDescent="0.35">
      <c r="A207" s="61" t="s">
        <v>45</v>
      </c>
      <c r="B207" s="64">
        <v>20</v>
      </c>
      <c r="C207" s="59">
        <f t="shared" si="18"/>
        <v>0.35355339059327379</v>
      </c>
      <c r="D207" s="63">
        <f t="shared" si="19"/>
        <v>55.154328932550712</v>
      </c>
      <c r="E207" s="63">
        <f t="shared" si="20"/>
        <v>33.092597359530423</v>
      </c>
      <c r="F207" s="63">
        <f t="shared" si="21"/>
        <v>19.855558415718253</v>
      </c>
      <c r="H207">
        <f t="shared" si="16"/>
        <v>45.126269126632394</v>
      </c>
      <c r="I207">
        <f t="shared" si="15"/>
        <v>5.5540023540470642</v>
      </c>
      <c r="J207">
        <f t="shared" si="15"/>
        <v>0.2777001177023532</v>
      </c>
      <c r="K207">
        <f t="shared" si="17"/>
        <v>50.95797159838181</v>
      </c>
    </row>
    <row r="208" spans="1:23" ht="15.5" x14ac:dyDescent="0.35">
      <c r="A208" s="61" t="s">
        <v>46</v>
      </c>
      <c r="B208" s="64">
        <v>25</v>
      </c>
      <c r="C208" s="59">
        <f t="shared" si="18"/>
        <v>0.25</v>
      </c>
      <c r="D208" s="63">
        <f t="shared" si="19"/>
        <v>39</v>
      </c>
      <c r="E208" s="63">
        <f t="shared" si="20"/>
        <v>23.4</v>
      </c>
      <c r="F208" s="63">
        <f t="shared" si="21"/>
        <v>14.04</v>
      </c>
      <c r="H208">
        <f t="shared" si="16"/>
        <v>33.179104477611936</v>
      </c>
      <c r="I208">
        <f t="shared" si="15"/>
        <v>3.4691373134328458</v>
      </c>
      <c r="J208">
        <f t="shared" si="15"/>
        <v>1.4039999999999999E-2</v>
      </c>
      <c r="K208">
        <f t="shared" si="17"/>
        <v>36.662281791044784</v>
      </c>
    </row>
    <row r="209" spans="1:12" ht="15.5" x14ac:dyDescent="0.35">
      <c r="A209" s="61" t="s">
        <v>47</v>
      </c>
      <c r="B209" s="64">
        <v>30</v>
      </c>
      <c r="C209" s="59">
        <f t="shared" si="18"/>
        <v>0.17677669529663689</v>
      </c>
      <c r="D209" s="63">
        <f t="shared" si="19"/>
        <v>27.577164466275356</v>
      </c>
      <c r="E209" s="63">
        <f t="shared" si="20"/>
        <v>16.546298679765211</v>
      </c>
      <c r="F209" s="63">
        <f t="shared" si="21"/>
        <v>9.9277792078591265</v>
      </c>
      <c r="H209">
        <f t="shared" si="16"/>
        <v>23.461169769816344</v>
      </c>
      <c r="I209">
        <f t="shared" si="15"/>
        <v>2.4530505191956467</v>
      </c>
      <c r="J209">
        <f t="shared" si="15"/>
        <v>9.9277792078591269E-3</v>
      </c>
      <c r="K209">
        <f t="shared" si="17"/>
        <v>25.92414806821985</v>
      </c>
    </row>
    <row r="210" spans="1:12" ht="15.5" x14ac:dyDescent="0.35">
      <c r="A210" s="61" t="s">
        <v>48</v>
      </c>
      <c r="B210" s="64">
        <v>35</v>
      </c>
      <c r="C210" s="59">
        <f t="shared" si="18"/>
        <v>0.12500000000000003</v>
      </c>
      <c r="D210" s="63">
        <f t="shared" si="19"/>
        <v>19.500000000000004</v>
      </c>
      <c r="E210" s="63">
        <f t="shared" si="20"/>
        <v>11.700000000000001</v>
      </c>
      <c r="F210" s="63">
        <f t="shared" si="21"/>
        <v>7.0200000000000014</v>
      </c>
      <c r="H210">
        <f t="shared" si="16"/>
        <v>16.589552238805972</v>
      </c>
      <c r="I210">
        <f t="shared" si="15"/>
        <v>1.7345686567164231</v>
      </c>
      <c r="J210">
        <f t="shared" si="15"/>
        <v>7.0200000000000011E-3</v>
      </c>
      <c r="K210">
        <f t="shared" si="17"/>
        <v>18.331140895522395</v>
      </c>
    </row>
    <row r="211" spans="1:12" ht="15.5" x14ac:dyDescent="0.35">
      <c r="A211" s="61" t="s">
        <v>49</v>
      </c>
      <c r="B211" s="64">
        <v>40</v>
      </c>
      <c r="C211" s="59">
        <f>EXP(LN(0.5)*B210/10)</f>
        <v>8.8388347648318447E-2</v>
      </c>
      <c r="D211" s="63">
        <f>$D$204*C211</f>
        <v>13.788582233137678</v>
      </c>
      <c r="E211" s="63">
        <f>$E$204*C211</f>
        <v>8.2731493398826057</v>
      </c>
      <c r="F211" s="63">
        <f>$F$204*C211</f>
        <v>4.9638896039295632</v>
      </c>
      <c r="H211">
        <f t="shared" si="16"/>
        <v>11.730584884908172</v>
      </c>
      <c r="I211">
        <f t="shared" si="15"/>
        <v>1.2265252595978233</v>
      </c>
      <c r="J211">
        <f t="shared" si="15"/>
        <v>4.9638896039295635E-3</v>
      </c>
      <c r="K211">
        <f t="shared" si="17"/>
        <v>12.962074034109925</v>
      </c>
    </row>
    <row r="212" spans="1:12" ht="15.5" x14ac:dyDescent="0.35">
      <c r="A212" s="61" t="s">
        <v>50</v>
      </c>
      <c r="B212" s="64">
        <v>45</v>
      </c>
      <c r="C212" s="59">
        <f t="shared" si="18"/>
        <v>6.25E-2</v>
      </c>
      <c r="D212" s="63">
        <f>$D$204*C212</f>
        <v>9.75</v>
      </c>
      <c r="E212" s="63">
        <f>$E$204*C212</f>
        <v>5.85</v>
      </c>
      <c r="F212" s="63">
        <f>$F$204*C212</f>
        <v>3.51</v>
      </c>
      <c r="H212">
        <f t="shared" si="16"/>
        <v>8.2947761194029841</v>
      </c>
      <c r="I212">
        <f t="shared" si="15"/>
        <v>0.86728432835821145</v>
      </c>
      <c r="J212">
        <f t="shared" si="15"/>
        <v>3.5099999999999997E-3</v>
      </c>
      <c r="K212">
        <f t="shared" si="17"/>
        <v>9.1655704477611959</v>
      </c>
    </row>
    <row r="213" spans="1:12" ht="15.5" x14ac:dyDescent="0.35">
      <c r="A213" s="61" t="s">
        <v>51</v>
      </c>
      <c r="B213" s="64">
        <v>50</v>
      </c>
      <c r="C213" s="59">
        <f t="shared" si="18"/>
        <v>4.4194173824159223E-2</v>
      </c>
      <c r="D213" s="63">
        <f>$D$204*C213</f>
        <v>6.894291116568839</v>
      </c>
      <c r="E213" s="63">
        <f>$E$204*C213</f>
        <v>4.1365746699413029</v>
      </c>
      <c r="F213" s="63">
        <f>$F$204*C213</f>
        <v>2.4819448019647816</v>
      </c>
      <c r="H213">
        <f t="shared" si="16"/>
        <v>5.865292442454086</v>
      </c>
      <c r="I213">
        <f t="shared" si="15"/>
        <v>0.61326262979891166</v>
      </c>
      <c r="J213">
        <f t="shared" si="15"/>
        <v>2.4819448019647817E-3</v>
      </c>
      <c r="K213">
        <f t="shared" si="17"/>
        <v>6.4810370170549625</v>
      </c>
    </row>
    <row r="214" spans="1:12" ht="15.5" x14ac:dyDescent="0.35">
      <c r="A214" s="61" t="s">
        <v>52</v>
      </c>
      <c r="B214" s="64">
        <v>55</v>
      </c>
      <c r="C214" s="59">
        <f t="shared" si="18"/>
        <v>3.125E-2</v>
      </c>
      <c r="D214" s="63">
        <f>$D$204*C214</f>
        <v>4.875</v>
      </c>
      <c r="E214" s="63">
        <f>$E$204*C214</f>
        <v>2.9249999999999998</v>
      </c>
      <c r="F214" s="63">
        <f>$F$204*C214</f>
        <v>1.7549999999999999</v>
      </c>
      <c r="H214">
        <f t="shared" si="16"/>
        <v>4.147388059701492</v>
      </c>
      <c r="I214">
        <f t="shared" si="15"/>
        <v>0.43364216417910573</v>
      </c>
      <c r="J214">
        <f t="shared" si="15"/>
        <v>1.7549999999999998E-3</v>
      </c>
      <c r="K214">
        <f t="shared" si="17"/>
        <v>4.5827852238805979</v>
      </c>
    </row>
    <row r="215" spans="1:12" ht="15.5" x14ac:dyDescent="0.35">
      <c r="A215" s="59"/>
      <c r="B215" s="64"/>
      <c r="C215" s="59"/>
      <c r="D215" s="66"/>
      <c r="E215" s="66"/>
      <c r="F215" s="66"/>
      <c r="K215">
        <f>AVERAGE(K201:K214)</f>
        <v>36.59889506656333</v>
      </c>
      <c r="L215">
        <f>K215/(365.25/7)</f>
        <v>0.7014161956630891</v>
      </c>
    </row>
    <row r="216" spans="1:12" ht="15.5" x14ac:dyDescent="0.35">
      <c r="A216" s="104" t="s">
        <v>92</v>
      </c>
      <c r="B216" s="104"/>
      <c r="C216" s="104"/>
      <c r="D216" s="104"/>
      <c r="E216" s="104"/>
      <c r="F216" s="104"/>
    </row>
    <row r="217" spans="1:12" ht="15.5" x14ac:dyDescent="0.35">
      <c r="A217" s="105" t="s">
        <v>2</v>
      </c>
      <c r="B217" s="59"/>
      <c r="C217" s="59"/>
      <c r="D217" s="103" t="s">
        <v>58</v>
      </c>
      <c r="E217" s="103"/>
      <c r="F217" s="103"/>
    </row>
    <row r="218" spans="1:12" ht="15.5" x14ac:dyDescent="0.35">
      <c r="A218" s="105"/>
      <c r="B218" s="59"/>
      <c r="C218" s="60" t="s">
        <v>54</v>
      </c>
      <c r="D218" s="60" t="s">
        <v>55</v>
      </c>
      <c r="E218" s="60" t="s">
        <v>56</v>
      </c>
      <c r="F218" s="60" t="s">
        <v>57</v>
      </c>
    </row>
    <row r="219" spans="1:12" ht="15.5" x14ac:dyDescent="0.35">
      <c r="A219" s="61" t="s">
        <v>31</v>
      </c>
      <c r="B219" s="59"/>
      <c r="C219" s="59"/>
      <c r="D219" s="62">
        <v>0</v>
      </c>
      <c r="E219" s="62">
        <v>0</v>
      </c>
      <c r="F219" s="62">
        <v>0</v>
      </c>
    </row>
    <row r="220" spans="1:12" ht="15.5" x14ac:dyDescent="0.35">
      <c r="A220" s="61" t="s">
        <v>30</v>
      </c>
      <c r="B220" s="59"/>
      <c r="C220" s="59"/>
      <c r="D220" s="62">
        <v>0</v>
      </c>
      <c r="E220" s="62">
        <v>0</v>
      </c>
      <c r="F220" s="62">
        <v>0</v>
      </c>
    </row>
    <row r="221" spans="1:12" ht="15.5" x14ac:dyDescent="0.35">
      <c r="A221" s="61" t="s">
        <v>39</v>
      </c>
      <c r="B221" s="59"/>
      <c r="C221" s="59">
        <v>0.05</v>
      </c>
      <c r="D221" s="62">
        <f>$C$221*D224</f>
        <v>7.8000000000000007</v>
      </c>
      <c r="E221" s="62">
        <f>$C$221*E224</f>
        <v>4.68</v>
      </c>
      <c r="F221" s="62">
        <f>$C$221*F224</f>
        <v>2.8079999999999998</v>
      </c>
    </row>
    <row r="222" spans="1:12" ht="15.5" x14ac:dyDescent="0.35">
      <c r="A222" s="61" t="s">
        <v>40</v>
      </c>
      <c r="B222" s="59"/>
      <c r="C222" s="59">
        <v>0.1</v>
      </c>
      <c r="D222" s="63">
        <f>D224*$C$222</f>
        <v>15.600000000000001</v>
      </c>
      <c r="E222" s="63">
        <f>E224*$C$222</f>
        <v>9.36</v>
      </c>
      <c r="F222" s="63">
        <f>F224*$C$222</f>
        <v>5.6159999999999997</v>
      </c>
    </row>
    <row r="223" spans="1:12" ht="15.5" x14ac:dyDescent="0.35">
      <c r="A223" s="61" t="s">
        <v>41</v>
      </c>
      <c r="B223" s="64">
        <v>1</v>
      </c>
      <c r="C223" s="59">
        <v>0.4</v>
      </c>
      <c r="D223" s="62">
        <f>D224*$C$223</f>
        <v>62.400000000000006</v>
      </c>
      <c r="E223" s="62">
        <f>E224*$C$223</f>
        <v>37.44</v>
      </c>
      <c r="F223" s="62">
        <f>F224*$C$223</f>
        <v>22.463999999999999</v>
      </c>
    </row>
    <row r="224" spans="1:12" ht="15.5" x14ac:dyDescent="0.35">
      <c r="A224" s="61" t="s">
        <v>42</v>
      </c>
      <c r="B224" s="64">
        <v>5</v>
      </c>
      <c r="C224" s="65"/>
      <c r="D224" s="62">
        <f>B239</f>
        <v>156</v>
      </c>
      <c r="E224" s="62">
        <f>C239</f>
        <v>93.6</v>
      </c>
      <c r="F224" s="62">
        <f>D239</f>
        <v>56.16</v>
      </c>
    </row>
    <row r="225" spans="1:6" ht="15.5" x14ac:dyDescent="0.35">
      <c r="A225" s="61" t="s">
        <v>43</v>
      </c>
      <c r="B225" s="64">
        <v>10</v>
      </c>
      <c r="C225" s="59">
        <f t="shared" ref="C225:C234" si="22">EXP(LN(0.5)*B224/10)</f>
        <v>0.70710678118654757</v>
      </c>
      <c r="D225" s="62">
        <f>D$224*$C$225</f>
        <v>110.30865786510142</v>
      </c>
      <c r="E225" s="62">
        <f>E$224*$C$225</f>
        <v>66.185194719060846</v>
      </c>
      <c r="F225" s="62">
        <f>F$224*$C$225</f>
        <v>39.711116831436506</v>
      </c>
    </row>
    <row r="226" spans="1:6" ht="15.5" x14ac:dyDescent="0.35">
      <c r="A226" s="61" t="s">
        <v>44</v>
      </c>
      <c r="B226" s="64">
        <v>15</v>
      </c>
      <c r="C226" s="59">
        <f t="shared" si="22"/>
        <v>0.5</v>
      </c>
      <c r="D226" s="62">
        <f t="shared" ref="D226:D232" si="23">$D$224*C226</f>
        <v>78</v>
      </c>
      <c r="E226" s="62">
        <f t="shared" ref="E226:E232" si="24">$E$224*C226</f>
        <v>46.8</v>
      </c>
      <c r="F226" s="62">
        <f t="shared" ref="F226:F232" si="25">$F$224*C226</f>
        <v>28.08</v>
      </c>
    </row>
    <row r="227" spans="1:6" ht="15.5" x14ac:dyDescent="0.35">
      <c r="A227" s="61" t="s">
        <v>45</v>
      </c>
      <c r="B227" s="64">
        <v>20</v>
      </c>
      <c r="C227" s="59">
        <f t="shared" si="22"/>
        <v>0.35355339059327379</v>
      </c>
      <c r="D227" s="62">
        <f t="shared" si="23"/>
        <v>55.154328932550712</v>
      </c>
      <c r="E227" s="62">
        <f t="shared" si="24"/>
        <v>33.092597359530423</v>
      </c>
      <c r="F227" s="62">
        <f t="shared" si="25"/>
        <v>19.855558415718253</v>
      </c>
    </row>
    <row r="228" spans="1:6" ht="15.5" x14ac:dyDescent="0.35">
      <c r="A228" s="61" t="s">
        <v>46</v>
      </c>
      <c r="B228" s="64">
        <v>25</v>
      </c>
      <c r="C228" s="59">
        <f t="shared" si="22"/>
        <v>0.25</v>
      </c>
      <c r="D228" s="62">
        <f t="shared" si="23"/>
        <v>39</v>
      </c>
      <c r="E228" s="62">
        <f t="shared" si="24"/>
        <v>23.4</v>
      </c>
      <c r="F228" s="62">
        <f t="shared" si="25"/>
        <v>14.04</v>
      </c>
    </row>
    <row r="229" spans="1:6" ht="15.5" x14ac:dyDescent="0.35">
      <c r="A229" s="61" t="s">
        <v>47</v>
      </c>
      <c r="B229" s="64">
        <v>30</v>
      </c>
      <c r="C229" s="59">
        <f t="shared" si="22"/>
        <v>0.17677669529663689</v>
      </c>
      <c r="D229" s="62">
        <f t="shared" si="23"/>
        <v>27.577164466275356</v>
      </c>
      <c r="E229" s="62">
        <f t="shared" si="24"/>
        <v>16.546298679765211</v>
      </c>
      <c r="F229" s="62">
        <f t="shared" si="25"/>
        <v>9.9277792078591265</v>
      </c>
    </row>
    <row r="230" spans="1:6" ht="15.5" x14ac:dyDescent="0.35">
      <c r="A230" s="61" t="s">
        <v>48</v>
      </c>
      <c r="B230" s="64">
        <v>35</v>
      </c>
      <c r="C230" s="59">
        <f t="shared" si="22"/>
        <v>0.12500000000000003</v>
      </c>
      <c r="D230" s="62">
        <f t="shared" si="23"/>
        <v>19.500000000000004</v>
      </c>
      <c r="E230" s="62">
        <f t="shared" si="24"/>
        <v>11.700000000000001</v>
      </c>
      <c r="F230" s="62">
        <f t="shared" si="25"/>
        <v>7.0200000000000014</v>
      </c>
    </row>
    <row r="231" spans="1:6" ht="15.5" x14ac:dyDescent="0.35">
      <c r="A231" s="61" t="s">
        <v>49</v>
      </c>
      <c r="B231" s="64">
        <v>40</v>
      </c>
      <c r="C231" s="59">
        <f t="shared" si="22"/>
        <v>8.8388347648318447E-2</v>
      </c>
      <c r="D231" s="62">
        <f t="shared" si="23"/>
        <v>13.788582233137678</v>
      </c>
      <c r="E231" s="62">
        <f t="shared" si="24"/>
        <v>8.2731493398826057</v>
      </c>
      <c r="F231" s="62">
        <f t="shared" si="25"/>
        <v>4.9638896039295632</v>
      </c>
    </row>
    <row r="232" spans="1:6" ht="15.5" x14ac:dyDescent="0.35">
      <c r="A232" s="61" t="s">
        <v>50</v>
      </c>
      <c r="B232" s="64">
        <v>45</v>
      </c>
      <c r="C232" s="59">
        <f t="shared" si="22"/>
        <v>6.25E-2</v>
      </c>
      <c r="D232" s="62">
        <f t="shared" si="23"/>
        <v>9.75</v>
      </c>
      <c r="E232" s="62">
        <f t="shared" si="24"/>
        <v>5.85</v>
      </c>
      <c r="F232" s="62">
        <f t="shared" si="25"/>
        <v>3.51</v>
      </c>
    </row>
    <row r="233" spans="1:6" ht="15.5" x14ac:dyDescent="0.35">
      <c r="A233" s="61" t="s">
        <v>51</v>
      </c>
      <c r="B233" s="64">
        <v>50</v>
      </c>
      <c r="C233" s="59">
        <f>EXP(LN(0.5)*B232/10)</f>
        <v>4.4194173824159223E-2</v>
      </c>
      <c r="D233" s="62">
        <f>$D$224*C233</f>
        <v>6.894291116568839</v>
      </c>
      <c r="E233" s="62">
        <f>$E$224*C233</f>
        <v>4.1365746699413029</v>
      </c>
      <c r="F233" s="62">
        <f>$F$224*C233</f>
        <v>2.4819448019647816</v>
      </c>
    </row>
    <row r="234" spans="1:6" ht="15.5" x14ac:dyDescent="0.35">
      <c r="A234" s="61" t="s">
        <v>52</v>
      </c>
      <c r="B234" s="64">
        <v>55</v>
      </c>
      <c r="C234" s="59">
        <f t="shared" si="22"/>
        <v>3.125E-2</v>
      </c>
      <c r="D234" s="62">
        <f>$D$224*C234</f>
        <v>4.875</v>
      </c>
      <c r="E234" s="62">
        <f>$E$224*C234</f>
        <v>2.9249999999999998</v>
      </c>
      <c r="F234" s="62">
        <f>$F$224*C234</f>
        <v>1.7549999999999999</v>
      </c>
    </row>
    <row r="235" spans="1:6" ht="15.5" x14ac:dyDescent="0.35">
      <c r="A235" s="48"/>
      <c r="B235" s="48"/>
      <c r="C235" s="58"/>
      <c r="D235" s="48"/>
      <c r="E235" s="48"/>
      <c r="F235" s="48"/>
    </row>
    <row r="236" spans="1:6" ht="15.5" x14ac:dyDescent="0.35">
      <c r="A236" s="57" t="s">
        <v>93</v>
      </c>
      <c r="B236" s="52"/>
      <c r="C236" s="52"/>
      <c r="D236" s="52"/>
      <c r="E236" s="48"/>
      <c r="F236" s="48"/>
    </row>
    <row r="237" spans="1:6" ht="31" x14ac:dyDescent="0.35">
      <c r="A237" s="69" t="s">
        <v>38</v>
      </c>
      <c r="B237" s="70" t="s">
        <v>6</v>
      </c>
      <c r="C237" s="70" t="s">
        <v>7</v>
      </c>
      <c r="D237" s="70" t="s">
        <v>8</v>
      </c>
      <c r="E237" s="48"/>
      <c r="F237" s="48"/>
    </row>
    <row r="238" spans="1:6" ht="15.5" x14ac:dyDescent="0.35">
      <c r="A238" s="24" t="s">
        <v>0</v>
      </c>
      <c r="B238" s="64">
        <f>52*3</f>
        <v>156</v>
      </c>
      <c r="C238" s="64">
        <f>B238*0.6</f>
        <v>93.6</v>
      </c>
      <c r="D238" s="64">
        <f>C238*0.6</f>
        <v>56.16</v>
      </c>
    </row>
    <row r="239" spans="1:6" ht="15.5" x14ac:dyDescent="0.35">
      <c r="A239" s="24" t="s">
        <v>1</v>
      </c>
      <c r="B239" s="64">
        <f>52*3</f>
        <v>156</v>
      </c>
      <c r="C239" s="64">
        <f>B239*0.6</f>
        <v>93.6</v>
      </c>
      <c r="D239" s="64">
        <f>C239*0.6</f>
        <v>56.16</v>
      </c>
    </row>
  </sheetData>
  <mergeCells count="24">
    <mergeCell ref="I130:I132"/>
    <mergeCell ref="J130:O130"/>
    <mergeCell ref="A197:A198"/>
    <mergeCell ref="A216:F216"/>
    <mergeCell ref="A217:A218"/>
    <mergeCell ref="B158:D158"/>
    <mergeCell ref="E158:G158"/>
    <mergeCell ref="A183:C183"/>
    <mergeCell ref="A195:F195"/>
    <mergeCell ref="A196:F196"/>
    <mergeCell ref="D197:F197"/>
    <mergeCell ref="D217:F217"/>
    <mergeCell ref="A109:A111"/>
    <mergeCell ref="B109:G109"/>
    <mergeCell ref="B130:G130"/>
    <mergeCell ref="A130:A132"/>
    <mergeCell ref="B4:C4"/>
    <mergeCell ref="B27:C27"/>
    <mergeCell ref="C81:C83"/>
    <mergeCell ref="A52:A53"/>
    <mergeCell ref="B52:D52"/>
    <mergeCell ref="E52:G52"/>
    <mergeCell ref="A81:A83"/>
    <mergeCell ref="B81:B8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Tan</dc:creator>
  <cp:lastModifiedBy>Cara J. Broshkevitch</cp:lastModifiedBy>
  <dcterms:created xsi:type="dcterms:W3CDTF">2017-01-05T21:29:02Z</dcterms:created>
  <dcterms:modified xsi:type="dcterms:W3CDTF">2019-12-10T16:48:30Z</dcterms:modified>
</cp:coreProperties>
</file>