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A_HPV-HIV_model_3\HHCoM\Config\"/>
    </mc:Choice>
  </mc:AlternateContent>
  <bookViews>
    <workbookView xWindow="0" yWindow="0" windowWidth="17925" windowHeight="9630" tabRatio="641" activeTab="1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CIN prevalence" sheetId="15" r:id="rId7"/>
    <sheet name="Screening" sheetId="2" r:id="rId8"/>
    <sheet name="CC prevalence" sheetId="3" r:id="rId9"/>
    <sheet name="HIV prevalence" sheetId="11" r:id="rId10"/>
    <sheet name="HIV mortality" sheetId="16" r:id="rId11"/>
    <sheet name="HIV testing " sheetId="6" r:id="rId12"/>
    <sheet name="ART" sheetId="12" r:id="rId13"/>
    <sheet name="CD4" sheetId="13" r:id="rId14"/>
    <sheet name="MTCT" sheetId="14" r:id="rId15"/>
    <sheet name="DALY" sheetId="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2" i="4" l="1"/>
  <c r="Q81" i="4"/>
  <c r="Q79" i="4"/>
  <c r="Q78" i="4"/>
  <c r="N81" i="4"/>
  <c r="N80" i="4"/>
  <c r="O72" i="7" l="1"/>
  <c r="F39" i="16" l="1"/>
  <c r="F38" i="16"/>
  <c r="F37" i="16"/>
  <c r="F36" i="16"/>
  <c r="E39" i="16"/>
  <c r="E38" i="16"/>
  <c r="E37" i="16"/>
  <c r="E36" i="16"/>
  <c r="D39" i="16"/>
  <c r="D38" i="16"/>
  <c r="D37" i="16"/>
  <c r="D36" i="16"/>
  <c r="C39" i="16"/>
  <c r="C38" i="16"/>
  <c r="C37" i="16"/>
  <c r="C36" i="16"/>
  <c r="E51" i="16" l="1"/>
  <c r="E50" i="16"/>
  <c r="E49" i="16"/>
  <c r="C52" i="16"/>
  <c r="C51" i="16"/>
  <c r="C50" i="16"/>
  <c r="C49" i="16"/>
  <c r="C48" i="16"/>
  <c r="E48" i="16"/>
  <c r="R8" i="16"/>
  <c r="D49" i="14"/>
  <c r="D50" i="14" s="1"/>
  <c r="D51" i="14" s="1"/>
  <c r="H63" i="4"/>
  <c r="H60" i="4"/>
  <c r="G93" i="4"/>
  <c r="G92" i="4"/>
  <c r="F114" i="10" l="1"/>
  <c r="C114" i="10"/>
  <c r="G114" i="10"/>
  <c r="G116" i="10"/>
  <c r="F115" i="10"/>
  <c r="E114" i="10"/>
  <c r="D114" i="10"/>
  <c r="I22" i="10"/>
  <c r="H22" i="10"/>
  <c r="J22" i="10"/>
  <c r="G115" i="10"/>
  <c r="G117" i="10"/>
  <c r="F116" i="10"/>
  <c r="F117" i="10"/>
  <c r="E117" i="10"/>
  <c r="E116" i="10"/>
  <c r="E115" i="10"/>
  <c r="D117" i="10"/>
  <c r="D116" i="10"/>
  <c r="D115" i="10"/>
  <c r="C115" i="10"/>
  <c r="C116" i="10"/>
  <c r="C117" i="10"/>
  <c r="D40" i="15"/>
  <c r="D39" i="15"/>
  <c r="C40" i="15"/>
  <c r="C39" i="15"/>
  <c r="C25" i="15"/>
  <c r="C24" i="15"/>
  <c r="C23" i="15"/>
  <c r="C22" i="15"/>
  <c r="D25" i="15"/>
  <c r="D24" i="15"/>
  <c r="D23" i="15"/>
  <c r="D22" i="15"/>
  <c r="C17" i="15"/>
  <c r="C16" i="15"/>
  <c r="C15" i="15"/>
  <c r="D17" i="15"/>
  <c r="D16" i="15"/>
  <c r="D15" i="15"/>
  <c r="K72" i="9"/>
  <c r="K73" i="9"/>
  <c r="H43" i="9"/>
  <c r="H44" i="9"/>
  <c r="H45" i="9"/>
  <c r="H46" i="9"/>
  <c r="H47" i="9"/>
  <c r="H42" i="9"/>
  <c r="M47" i="10" l="1"/>
  <c r="L47" i="10"/>
  <c r="F191" i="4" l="1"/>
  <c r="F192" i="4"/>
  <c r="F193" i="4"/>
  <c r="F194" i="4"/>
  <c r="F195" i="4"/>
  <c r="F196" i="4"/>
  <c r="F197" i="4"/>
  <c r="F198" i="4"/>
  <c r="F199" i="4"/>
  <c r="F200" i="4"/>
  <c r="F201" i="4"/>
  <c r="F202" i="4"/>
  <c r="F203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F190" i="4"/>
  <c r="E190" i="4"/>
  <c r="D19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0" i="4"/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<sst xmlns="http://schemas.openxmlformats.org/spreadsheetml/2006/main" count="2372" uniqueCount="1031">
  <si>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</si>
  <si>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</si>
  <si>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</si>
  <si>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</si>
  <si>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</si>
  <si>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</si>
  <si>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</si>
  <si>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</si>
  <si>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</si>
  <si>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</si>
  <si>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</si>
  <si>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</si>
  <si>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</si>
  <si>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</si>
  <si>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</si>
  <si>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</si>
  <si>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</si>
  <si>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</si>
  <si>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</si>
  <si>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</si>
  <si>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</si>
  <si>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</si>
  <si>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</si>
  <si>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</si>
  <si>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</si>
  <si>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</si>
  <si>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</si>
  <si>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</si>
  <si>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</si>
  <si>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</si>
  <si>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</si>
  <si>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</si>
  <si>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</si>
  <si>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</si>
  <si>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</si>
  <si>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</si>
  <si>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</si>
  <si>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</si>
  <si>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</si>
  <si>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</si>
  <si>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</si>
  <si>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</si>
  <si>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</si>
  <si>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</si>
  <si>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</si>
  <si>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</si>
  <si>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</si>
  <si>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</si>
  <si>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</si>
  <si>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</si>
  <si>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</si>
  <si>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</si>
  <si>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</si>
  <si>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</si>
  <si>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</si>
  <si>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</si>
  <si>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</si>
  <si>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</si>
  <si>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</si>
  <si>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</si>
  <si>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</si>
  <si>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</si>
  <si>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</si>
  <si>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</si>
  <si>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</si>
  <si>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</si>
  <si>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</si>
  <si>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</si>
  <si>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</si>
  <si>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</si>
  <si>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</si>
  <si>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</si>
  <si>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</si>
  <si>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</si>
  <si>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</si>
  <si>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</si>
  <si>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</si>
  <si>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</si>
  <si>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</si>
  <si>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</si>
  <si>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</si>
  <si>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</si>
  <si>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</si>
  <si>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</si>
  <si>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</si>
  <si>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</si>
  <si>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</si>
  <si>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</si>
  <si>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</si>
  <si>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</si>
  <si>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</si>
  <si>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</si>
  <si>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</si>
  <si>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</si>
  <si>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</si>
  <si>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</si>
  <si>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</si>
  <si>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</si>
  <si>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</si>
  <si>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</si>
  <si>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</si>
  <si>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</si>
  <si>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</si>
  <si>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</si>
  <si>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</si>
  <si>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</si>
  <si>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</si>
  <si>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</si>
  <si>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</si>
  <si>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</si>
  <si>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</si>
  <si>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</si>
  <si>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</si>
  <si>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</si>
  <si>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</si>
  <si>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</si>
  <si>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</si>
  <si>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</si>
  <si>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</si>
  <si>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</si>
  <si>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</si>
  <si>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</si>
  <si>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</si>
  <si>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</si>
  <si>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</si>
  <si>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</si>
  <si>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</si>
  <si>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</si>
  <si>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</si>
  <si>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</si>
  <si>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</si>
  <si>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</si>
  <si>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</si>
  <si>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</si>
  <si>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</si>
  <si>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</si>
  <si>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</si>
  <si>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</si>
  <si>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</si>
  <si>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</si>
  <si>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</si>
  <si>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</si>
  <si>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</si>
  <si>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</si>
  <si>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</si>
  <si>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</si>
  <si>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</si>
  <si>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</si>
  <si>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</si>
  <si>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</si>
  <si>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</si>
  <si>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</si>
  <si>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</si>
  <si>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</si>
  <si>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</si>
  <si>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</si>
  <si>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</si>
  <si>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</si>
  <si>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</si>
  <si>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</si>
  <si>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</si>
  <si>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</si>
  <si>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</si>
  <si>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</si>
  <si>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</si>
  <si>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</si>
  <si>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</si>
  <si>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</si>
  <si>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</si>
  <si>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</si>
  <si>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</si>
  <si>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</si>
  <si>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</si>
  <si>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</si>
  <si>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</si>
  <si>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</si>
  <si>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</si>
  <si>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</si>
  <si>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</si>
  <si>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</si>
  <si>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</si>
  <si>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</si>
  <si>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</si>
  <si>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</si>
  <si>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</si>
  <si>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</si>
  <si>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</si>
  <si>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</si>
  <si>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</si>
  <si>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</si>
  <si>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</si>
  <si>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</si>
  <si>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</si>
  <si>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</si>
  <si>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</si>
  <si>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</si>
  <si>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</si>
  <si>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</si>
  <si>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</si>
  <si>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</si>
  <si>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</si>
  <si>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</si>
  <si>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</si>
  <si>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</si>
  <si>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</si>
  <si>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</si>
  <si>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</si>
  <si>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</si>
  <si>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</si>
  <si>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</si>
  <si>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</si>
  <si>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</si>
  <si>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</si>
  <si>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</si>
  <si>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</si>
  <si>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</si>
  <si>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</si>
  <si>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</si>
  <si>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</si>
  <si>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</si>
  <si>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</si>
  <si>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</si>
  <si>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</si>
  <si>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</si>
  <si>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</si>
  <si>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</si>
  <si>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</si>
  <si>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</si>
  <si>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</si>
  <si>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</si>
  <si>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</si>
  <si>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</si>
  <si>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</si>
  <si>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</si>
  <si>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</si>
  <si>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</si>
  <si>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</si>
  <si>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</si>
  <si>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</si>
  <si>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</si>
  <si>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</si>
  <si>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</si>
  <si>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</si>
  <si>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</si>
  <si>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</si>
  <si>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</si>
  <si>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</si>
  <si>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</si>
  <si>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</si>
  <si>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</si>
  <si>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</si>
  <si>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</si>
  <si>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</si>
  <si>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</si>
  <si>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</si>
  <si>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</si>
  <si>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</si>
  <si>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</si>
  <si>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</si>
  <si>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</si>
  <si>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</si>
  <si>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</si>
  <si>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</si>
  <si>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</si>
  <si>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</si>
  <si>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</si>
  <si>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</si>
  <si>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2.2%</t>
  </si>
  <si>
    <t>Any abnormality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</si>
  <si>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</si>
  <si>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</si>
  <si>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</si>
  <si>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</si>
  <si>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</si>
  <si>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</si>
  <si>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</si>
  <si>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</si>
  <si>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</si>
  <si>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</si>
  <si>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</si>
  <si>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</si>
  <si>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</si>
  <si>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</si>
  <si>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</si>
  <si>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</si>
  <si>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</si>
  <si>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</si>
  <si>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</si>
  <si>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</si>
  <si>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</si>
  <si>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</si>
  <si>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</si>
  <si>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</si>
  <si>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</si>
  <si>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</si>
  <si>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</si>
  <si>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</si>
  <si>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</si>
  <si>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</si>
  <si>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</si>
  <si>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</si>
  <si>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</si>
  <si>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</si>
  <si>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</si>
  <si>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</si>
  <si>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</si>
  <si>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</si>
  <si>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</si>
  <si>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</si>
  <si>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</si>
  <si>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</si>
  <si>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</si>
  <si>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</si>
  <si>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</si>
  <si>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</si>
  <si>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</si>
  <si>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</si>
  <si>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</si>
  <si>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</si>
  <si>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</si>
  <si>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</si>
  <si>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</si>
  <si>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</si>
  <si>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</si>
  <si>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</si>
  <si>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</si>
  <si>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</si>
  <si>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</si>
  <si>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</si>
  <si>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</si>
  <si>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</si>
  <si>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</si>
  <si>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</si>
  <si>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</si>
  <si>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</si>
  <si>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</si>
  <si>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</si>
  <si>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</si>
  <si>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</si>
  <si>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</si>
  <si>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</si>
  <si>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</si>
  <si>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</si>
  <si>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</si>
  <si>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</si>
  <si>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</si>
  <si>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</si>
  <si>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</si>
  <si>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</si>
  <si>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</si>
  <si>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</si>
  <si>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</si>
  <si>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</si>
  <si>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</si>
  <si>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</si>
  <si>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</si>
  <si>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</si>
  <si>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</si>
  <si>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</si>
  <si>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</si>
  <si>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</si>
  <si>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</si>
  <si>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</si>
  <si>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</si>
  <si>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</si>
  <si>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</si>
  <si>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</si>
  <si>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</si>
  <si>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</si>
  <si>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</si>
  <si>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</si>
  <si>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</si>
  <si>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</si>
  <si>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</si>
  <si>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</si>
  <si>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</si>
  <si>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</si>
  <si>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</si>
  <si>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</si>
  <si>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</si>
  <si>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</si>
  <si>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</si>
  <si>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</si>
  <si>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</si>
  <si>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</si>
  <si>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</si>
  <si>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</si>
  <si>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</si>
  <si>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</si>
  <si>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</si>
  <si>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</si>
  <si>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</si>
  <si>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</si>
  <si>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</si>
  <si>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</si>
  <si>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</si>
  <si>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HIV prevalence</t>
  </si>
  <si>
    <t>20 – 24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</si>
  <si>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</si>
  <si>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</si>
  <si>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</si>
  <si>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</si>
  <si>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</si>
  <si>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</si>
  <si>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</si>
  <si>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</si>
  <si>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</si>
  <si>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</si>
  <si>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</si>
  <si>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</si>
  <si>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</si>
  <si>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</si>
  <si>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</si>
  <si>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</si>
  <si>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</si>
  <si>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</si>
  <si>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</si>
  <si>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</si>
  <si>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</si>
  <si>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</si>
  <si>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</si>
  <si>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</si>
  <si>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</si>
  <si>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</si>
  <si>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</si>
  <si>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</si>
  <si>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</si>
  <si>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</si>
  <si>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</si>
  <si>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</si>
  <si>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</si>
  <si>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</si>
  <si>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</si>
  <si>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</si>
  <si>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</si>
  <si>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</si>
  <si>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</si>
  <si>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</si>
  <si>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</si>
  <si>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</si>
  <si>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</si>
  <si>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</si>
  <si>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</si>
  <si>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</si>
  <si>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</si>
  <si>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</si>
  <si>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</si>
  <si>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</si>
  <si>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</si>
  <si>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</si>
  <si>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</si>
  <si>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</si>
  <si>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</si>
  <si>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</si>
  <si>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</si>
  <si>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</si>
  <si>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</si>
  <si>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</si>
  <si>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</si>
  <si>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</si>
  <si>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</si>
  <si>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</si>
  <si>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</si>
  <si>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</si>
  <si>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</si>
  <si>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</si>
  <si>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</si>
  <si>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</si>
  <si>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</si>
  <si>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</si>
  <si>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</si>
  <si>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</si>
  <si>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</si>
  <si>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</si>
  <si>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</si>
  <si>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</si>
  <si>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</si>
  <si>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</si>
  <si>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</si>
  <si>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</si>
  <si>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</si>
  <si>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</si>
  <si>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</si>
  <si>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</si>
  <si>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</si>
  <si>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</si>
  <si>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</si>
  <si>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</si>
  <si>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</si>
  <si>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</si>
  <si>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</si>
  <si>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</si>
  <si>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</si>
  <si>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</si>
  <si>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</si>
  <si>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</si>
  <si>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</si>
  <si>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</si>
  <si>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</si>
  <si>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</si>
  <si>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</si>
  <si>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</si>
  <si>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</si>
  <si>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</si>
  <si>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</si>
  <si>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</si>
  <si>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</si>
  <si>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</si>
  <si>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</si>
  <si>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</si>
  <si>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</si>
  <si>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</si>
  <si>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</si>
  <si>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</si>
  <si>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</si>
  <si>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</si>
  <si>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</si>
  <si>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</si>
  <si>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</si>
  <si>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</si>
  <si>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</si>
  <si>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</si>
  <si>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</si>
  <si>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</si>
  <si>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</si>
  <si>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</si>
  <si>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</si>
  <si>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</si>
  <si>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</si>
  <si>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</si>
  <si>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</si>
  <si>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</si>
  <si>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</si>
  <si>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</si>
  <si>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</si>
  <si>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</si>
  <si>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</si>
  <si>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</si>
  <si>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</si>
  <si>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</si>
  <si>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</si>
  <si>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</si>
  <si>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</si>
  <si>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</si>
  <si>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</si>
  <si>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</si>
  <si>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</si>
  <si>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</si>
  <si>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</si>
  <si>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</si>
  <si>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</si>
  <si>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</si>
  <si>
    <t>25-55</t>
  </si>
  <si>
    <t>HIV- women</t>
  </si>
  <si>
    <t>*HIV prevalence = 11.49%</t>
  </si>
  <si>
    <t>https://www.ncbi.nlm.nih.gov/pubmed/25875167</t>
  </si>
  <si>
    <t>25-34</t>
  </si>
  <si>
    <t>25-34 (n=235)</t>
  </si>
  <si>
    <t>35-44 (n=246)</t>
  </si>
  <si>
    <t>&gt;45 (n=219)</t>
  </si>
  <si>
    <t xml:space="preserve">*HIV testing was not done as part of the study. But prevalence among pregnant women was about 10% in Mombasa in 2004, when the study took palce. </t>
  </si>
  <si>
    <t xml:space="preserve">Source: DeVuyst, 2010;  Cancer Causes and Control 21: 2309–2313. </t>
  </si>
  <si>
    <t>*HIV testing was done on most women in the study; positivity was 11.5%</t>
  </si>
  <si>
    <t>Source: Maranga, 2013. Open Virol J. 2013; 7: 19–27.</t>
  </si>
  <si>
    <t>21-50</t>
  </si>
  <si>
    <t>HIV+</t>
  </si>
  <si>
    <t xml:space="preserve">HR HPV </t>
  </si>
  <si>
    <t>HIV-</t>
  </si>
  <si>
    <t xml:space="preserve">Source: Rahman, 2011. J Med Virol. 2011 Nov;83(11):1988-96. </t>
  </si>
  <si>
    <t>mean 33.9</t>
  </si>
  <si>
    <t>mean 29.9</t>
  </si>
  <si>
    <t>Year of data collection</t>
  </si>
  <si>
    <t>Source: Yamada, 2008</t>
  </si>
  <si>
    <t>17-19</t>
  </si>
  <si>
    <t>40-61</t>
  </si>
  <si>
    <t>2004-2005</t>
  </si>
  <si>
    <t xml:space="preserve">Year of data collection </t>
  </si>
  <si>
    <t>1998-2000</t>
  </si>
  <si>
    <t>2002-2004</t>
  </si>
  <si>
    <t>Source: Ogembo, 2015; PLoS One. 2015 Apr 14;10(4):e0122488</t>
  </si>
  <si>
    <t xml:space="preserve">*HPV prevalence among women with normal cytology </t>
  </si>
  <si>
    <t>LB</t>
  </si>
  <si>
    <t>UB</t>
  </si>
  <si>
    <t>35-44</t>
  </si>
  <si>
    <t>45-54</t>
  </si>
  <si>
    <t>Africa</t>
  </si>
  <si>
    <t>Systematic review</t>
  </si>
  <si>
    <t>Source: DeVuyst, 2003; Sex Transm Dis. 2003 Feb;30(2):137-42.</t>
  </si>
  <si>
    <t>Source: UNAIDS - Spectrum, 2019</t>
  </si>
  <si>
    <t>Adults (15+) estimate</t>
  </si>
  <si>
    <t>Lower Estimate</t>
  </si>
  <si>
    <t>Upper Estimate</t>
  </si>
  <si>
    <t>Children (0-14) estimate</t>
  </si>
  <si>
    <t>Source: National AIDS Control Council, 2018 Kenya HIV Estimates (Possibly Spectrum)</t>
  </si>
  <si>
    <t xml:space="preserve">Source: National AIDS Control Council - Kenya HIV Estimates 2018 reprot </t>
  </si>
  <si>
    <t>2017 HIV prevalence in adults 15-49</t>
  </si>
  <si>
    <t xml:space="preserve">Source: National AIDS Control Council - Kenya HIV Estimates 2014 report </t>
  </si>
  <si>
    <t xml:space="preserve">HIV prevalence in Nyanza, estimated by Spectrum </t>
  </si>
  <si>
    <t>red text = projections</t>
  </si>
  <si>
    <t>Source: HIV prevention response and transmission - 2009</t>
  </si>
  <si>
    <t>HIV prevalence among ANC attendants age 15-24 in Kenya, 1990-2006</t>
  </si>
  <si>
    <t>Prevalence</t>
  </si>
  <si>
    <t>Coital acts per partnership</t>
  </si>
  <si>
    <t>Males</t>
  </si>
  <si>
    <t>Risk Group</t>
  </si>
  <si>
    <t>Reduction Factor</t>
  </si>
  <si>
    <t>Low</t>
  </si>
  <si>
    <t>0 - 4</t>
  </si>
  <si>
    <t xml:space="preserve">20 -24 </t>
  </si>
  <si>
    <t>50 -54</t>
  </si>
  <si>
    <t>Females</t>
  </si>
  <si>
    <t>Age Group</t>
  </si>
  <si>
    <t>Peak Coital Acts per Partnership</t>
  </si>
  <si>
    <t>Low-Risk</t>
  </si>
  <si>
    <t>Moderate-Risk</t>
  </si>
  <si>
    <t>High-Risk</t>
  </si>
  <si>
    <t>The number of coital acts per partnership by sex, age, and sexual risk group. Values are calibrated to fit age-specific HIV and HPV prevalence data.</t>
  </si>
  <si>
    <t>Peak number of coital acts per partnership. Not currently used.</t>
  </si>
  <si>
    <t xml:space="preserve">Source: SA model parameter (calibrated to SA) </t>
  </si>
  <si>
    <t xml:space="preserve">80% of SA values </t>
  </si>
  <si>
    <t>ART coverage by year and sex among all people living with HIV</t>
  </si>
  <si>
    <t>from survey data</t>
  </si>
  <si>
    <t>Source: Korir, et al 2015. Int J Cancer. 2015 Nov 1;137(9):2053-9.</t>
  </si>
  <si>
    <t>75+</t>
  </si>
  <si>
    <t>Rate per 100,000</t>
  </si>
  <si>
    <t>Age-specific incidnce rates of cervical cancer in Nairobi, 2004-2008</t>
  </si>
  <si>
    <t>Source: Rositch, 2012. Int J STD AIDS. 2012 Jul; 23(7): 468–474.</t>
  </si>
  <si>
    <t xml:space="preserve">10% had sex with more than 1 partner in the past year. In these partnerships, 91% of the partners were 3 (IQR 2-5) years older. </t>
  </si>
  <si>
    <t xml:space="preserve">Condom use with current partner was 20%, and condom use with the other partner was 27%. </t>
  </si>
  <si>
    <t xml:space="preserve">In mulitvariate analysis, age diffrence with current partner was not signficantly associated with HIV, neither is condom use </t>
  </si>
  <si>
    <t xml:space="preserve">Among girls 17-18 years old in Nairobi, 97% had partners who were a median of 5 years older than they were (IQR 3-7). </t>
  </si>
  <si>
    <t>Source: Glynn 2001, AIDS. 2001 Aug;15 Suppl 4:S51-60.</t>
  </si>
  <si>
    <t xml:space="preserve">In all partnerships in this study, men were older than their wives </t>
  </si>
  <si>
    <t>18% of non-marital partnerships among women younger than 20 werew ith men older than 24</t>
  </si>
  <si>
    <t>About 37% of women younger than 20 only had partners who were also younger than 20; 22.2% had any partners who are 24 and older</t>
  </si>
  <si>
    <t>Almost all men younger than 20 only had partners younger than 20; two thrirds of men aged 20-24 only had partners who were younger than 20</t>
  </si>
  <si>
    <t xml:space="preserve">Source: Stover, 2004; </t>
  </si>
  <si>
    <t xml:space="preserve">Defult value used in Spectrum for low resource countries: 32% </t>
  </si>
  <si>
    <t>Source: Stover, 2004</t>
  </si>
  <si>
    <t xml:space="preserve">In Spectrum, HIV+ women over 20 years old had 30% reduced fertility compared to HIV- women of the same age. For women aged 15-19, fertility is 50% higher in HIV+. </t>
  </si>
  <si>
    <t xml:space="preserve">Age-adjusted HR of HIV on risk of pregnancy in Kisumu was 0.82 (0.70-0.96); influence of HIV on birth intervals (ie risk of pregnancy) was the same for those under 20 and those aged 20-29. </t>
  </si>
  <si>
    <t xml:space="preserve">Population in study was 1500 women from two ANC clinics, where HIV prevalence was 30.6%. </t>
  </si>
  <si>
    <t>Source: Glynn, 2000 JAIDS, 25:4</t>
  </si>
  <si>
    <t>Source: Marston, M; 2017; Trop Med Int Health. 2017 Dec; 22(12): 1542–1550.</t>
  </si>
  <si>
    <t xml:space="preserve">HIV+ women younger than 20 did not have higher fertility after years before sexual debut were excluded. The difference in fertility between HIV+ and HIV- women was attenuated when ART increased. </t>
  </si>
  <si>
    <t xml:space="preserve">Sexual mixing patterns in Kenya </t>
  </si>
  <si>
    <t>Source: Luke, 2005, Int Fam Plan Perspect. 2005 Mar;31(1):6-14.</t>
  </si>
  <si>
    <t xml:space="preserve">Among Kisumu men aged 21-45: </t>
  </si>
  <si>
    <t>Age-specific incidence rates of cervical cancer in Eldoret, 2008-2011</t>
  </si>
  <si>
    <t>Rates per 100,000</t>
  </si>
  <si>
    <t>Age-specific incidence rates of cervical cancer in Nairobi, 2007-2011</t>
  </si>
  <si>
    <t>Overall</t>
  </si>
  <si>
    <t xml:space="preserve">HIV+ </t>
  </si>
  <si>
    <t>10/205</t>
  </si>
  <si>
    <t>72/3853</t>
  </si>
  <si>
    <t>Source: Maggwa, 1993; AIDS. 1993 May;7(5):733-8. (full text unavailable)</t>
  </si>
  <si>
    <t>Prevalence of any stage CIN by HIV status among women in Nairobi</t>
  </si>
  <si>
    <t>Source: Kreiss, 1992. Sex Transm Dis. 1992 Jan-Feb;19(1):54-9. (no full text)</t>
  </si>
  <si>
    <t xml:space="preserve">Prevalence of HPV and CIN among sex workers in Nairobi </t>
  </si>
  <si>
    <t xml:space="preserve">HPV </t>
  </si>
  <si>
    <t>CIN</t>
  </si>
  <si>
    <t xml:space="preserve">Source: Patel, 2013. Int J STD AIDS. 2013 Mar;24(3):221-5. doi: 10.1177/0956462412472446. </t>
  </si>
  <si>
    <t>HIV+ FSW</t>
  </si>
  <si>
    <t>18-43</t>
  </si>
  <si>
    <t>FSW</t>
  </si>
  <si>
    <t>HIV- FSW</t>
  </si>
  <si>
    <t>*HIV prevalence in population was 22.97%</t>
  </si>
  <si>
    <t xml:space="preserve">Source: Luchter, </t>
  </si>
  <si>
    <t>17-24</t>
  </si>
  <si>
    <t>&gt;40</t>
  </si>
  <si>
    <t>2005-2006</t>
  </si>
  <si>
    <t>23-30</t>
  </si>
  <si>
    <t>31-40</t>
  </si>
  <si>
    <t>&gt;41</t>
  </si>
  <si>
    <t>Data collected 2007</t>
  </si>
  <si>
    <t xml:space="preserve">Age-specific prevalence of CIN2+ among HIV+ women at two HIV clinics in Kisumu </t>
  </si>
  <si>
    <t xml:space="preserve">Prevalence of CIN2+ by nadir CD4 </t>
  </si>
  <si>
    <t>CD4 count</t>
  </si>
  <si>
    <t>201-350</t>
  </si>
  <si>
    <t>&gt;500</t>
  </si>
  <si>
    <t>Source: Huchko, 2014;Int J Cancer. 2014 Feb 1;134(3):740-5.</t>
  </si>
  <si>
    <t>Source: Temmerman, 1998; Sex Transm Infect. 1998 Jun;74(3):202-4.</t>
  </si>
  <si>
    <t xml:space="preserve">Mild </t>
  </si>
  <si>
    <t xml:space="preserve">Moderate </t>
  </si>
  <si>
    <t xml:space="preserve">Severe </t>
  </si>
  <si>
    <t xml:space="preserve">Dysplasia grade </t>
  </si>
  <si>
    <t>Prevalence of cervical dysplasia among women aged 19-54 years in a family planning clinic in Nairobi</t>
  </si>
  <si>
    <t xml:space="preserve">HIV testing was done as part of the study; overall HIV prevalence in this population was 10.2%. </t>
  </si>
  <si>
    <t>LSIL</t>
  </si>
  <si>
    <t xml:space="preserve">Prevalence of cervical abnormality at enrollment among female sex workers, recruited through Sex Workers Outreach Programme Clinic in Nairobi. </t>
  </si>
  <si>
    <t>Source: Njagi, 2013; Public Health Action. 2013 Dec 21; 3(4): 271–275.</t>
  </si>
  <si>
    <t xml:space="preserve">Incidence of any CIN </t>
  </si>
  <si>
    <t>7.9 per 100</t>
  </si>
  <si>
    <t>6.3 per 100</t>
  </si>
  <si>
    <t>Difference by HIV status is not significant</t>
  </si>
  <si>
    <t>Source: De Vuyst 2013; Int J Cancer. 2013 Sep 15; 133(6): 1441–1446.</t>
  </si>
  <si>
    <t>Prevalence of CIN among previously unscreened HIV+ women attending the Coptic Hope Center for Infectious Disease in Nairobi in 2009</t>
  </si>
  <si>
    <t>CIN2</t>
  </si>
  <si>
    <t>CIN3</t>
  </si>
  <si>
    <t xml:space="preserve">Median age in this population was 38.2 years </t>
  </si>
  <si>
    <t xml:space="preserve">Pop size </t>
  </si>
  <si>
    <t>Female 0-14</t>
  </si>
  <si>
    <t>Male 15-64</t>
  </si>
  <si>
    <t>Female 15-64</t>
  </si>
  <si>
    <t>Male 0-14</t>
  </si>
  <si>
    <t>Source: Bailey, 2007; Lancet. 2007 Feb 24;369(9562):643-56.</t>
  </si>
  <si>
    <t xml:space="preserve">Relative risk of HIV among circumcised men compared to uncircumcised men is 0.47 (0.28-0.78) </t>
  </si>
  <si>
    <t xml:space="preserve">RCT among 2784 18-24 year old men in Kisumu, with 24 months of follow up </t>
  </si>
  <si>
    <t xml:space="preserve">Protection from circumcision </t>
  </si>
  <si>
    <t>Source: Weiss, 2000; Male circumcision and risk of HIV infection in sub-Saharan Africa: a systematic review and meta-analysis. AIDS (London, England) 14, 2361-2370 (2000).</t>
  </si>
  <si>
    <t xml:space="preserve">Adjusted RR of HIV among circumcised vs uncircumcised men </t>
  </si>
  <si>
    <t>Crude</t>
  </si>
  <si>
    <t xml:space="preserve">Adjusted </t>
  </si>
  <si>
    <t>High risk men adjusted</t>
  </si>
  <si>
    <t>General pop</t>
  </si>
  <si>
    <t>* Values in blue were originally 0, now they are the averages of the values for age groups above and below</t>
  </si>
  <si>
    <t xml:space="preserve">Source: Sirengo, 2014; J Acquir Immune Defic Syndr. 2014 May 1;66 Suppl 1:S66-74. </t>
  </si>
  <si>
    <t>KAIS 2012 survey, covering 2007-2012</t>
  </si>
  <si>
    <t xml:space="preserve">women who had at least 1 live birth in the past 5 years attended ANC </t>
  </si>
  <si>
    <t>of the above, women who acceted HIV testing</t>
  </si>
  <si>
    <t>Of those test, women who received resulst</t>
  </si>
  <si>
    <t>Of those who had results, women who were diagnosed with HIV</t>
  </si>
  <si>
    <t xml:space="preserve">Of diagnosed mothers, infants that received HIV testing </t>
  </si>
  <si>
    <t>Of those infants tested, % positive for HIV</t>
  </si>
  <si>
    <t xml:space="preserve">Source: Pricilla, 2018; Matern Child Health J. 2018 Dec;22(12):1685-1692. </t>
  </si>
  <si>
    <t xml:space="preserve">MTCT at four government hospitals in Nairobi, Nandi, and Kericho </t>
  </si>
  <si>
    <t>2013-2016</t>
  </si>
  <si>
    <t>HIV positivity among HIV-exposed infants in South Rift region between Jan 1 2013 and Dec 31, 2013</t>
  </si>
  <si>
    <t>Overall positivity</t>
  </si>
  <si>
    <t>Source: Ashiono, 2017; BMC Public Health. 2017 Feb 17;17(1):207.</t>
  </si>
  <si>
    <t xml:space="preserve">Kisumu Breastfeeding Study (2003-2006): HIV transmission rates among mothers on ART </t>
  </si>
  <si>
    <t xml:space="preserve">Cumulative transmission rates </t>
  </si>
  <si>
    <t>Infant age in months</t>
  </si>
  <si>
    <t xml:space="preserve">6 months </t>
  </si>
  <si>
    <t>4.7 (2.5–8.8)</t>
  </si>
  <si>
    <t>7.4 (4.4–12.1)</t>
  </si>
  <si>
    <t>8.0 (4.9–12.8)</t>
  </si>
  <si>
    <t>8.6 (5.3–13.6)</t>
  </si>
  <si>
    <t>350–499</t>
  </si>
  <si>
    <t>0.7 (0.1–5.1)</t>
  </si>
  <si>
    <t>3.8 (1.6–9.0)</t>
  </si>
  <si>
    <t>5.5 (2.7–11.2)</t>
  </si>
  <si>
    <t>7.2 (3.8–13.4)</t>
  </si>
  <si>
    <t>8.1 (4.4–14.5)</t>
  </si>
  <si>
    <t>≥500</t>
  </si>
  <si>
    <t>1.3 (0.3–5.0)</t>
  </si>
  <si>
    <t>3.3 (1.4–7.7)</t>
  </si>
  <si>
    <t>4.1 (1.8–8.8)</t>
  </si>
  <si>
    <t>&lt;500</t>
  </si>
  <si>
    <t>3.0 (1.6–5.6)</t>
  </si>
  <si>
    <t>5.9 (3.8–9.1)</t>
  </si>
  <si>
    <t>6.9 (4.6–10.3)</t>
  </si>
  <si>
    <t>8.0 (5.5–11.6)</t>
  </si>
  <si>
    <t>8.4 (5.8–12.0)</t>
  </si>
  <si>
    <t>At birth</t>
  </si>
  <si>
    <t>6 months</t>
  </si>
  <si>
    <t xml:space="preserve">12 months </t>
  </si>
  <si>
    <t xml:space="preserve">18 months </t>
  </si>
  <si>
    <t xml:space="preserve">24 months </t>
  </si>
  <si>
    <t>Cumulative transmission rate by maternal baseline CD4 and viral load</t>
  </si>
  <si>
    <t>&lt;400</t>
  </si>
  <si>
    <t>3.7 (0.5–23.5)</t>
  </si>
  <si>
    <t>400–9,999</t>
  </si>
  <si>
    <t>0.9 (0.1–6.2)</t>
  </si>
  <si>
    <t>1.9 (0.5–7.2)</t>
  </si>
  <si>
    <t>2.8 (0.9–8.5)</t>
  </si>
  <si>
    <t>10,000–49,999</t>
  </si>
  <si>
    <t>3.6 (1.5–8.4)</t>
  </si>
  <si>
    <t>5.8 (2.9–11.3)</t>
  </si>
  <si>
    <t>6.6 (3.5–12.3)</t>
  </si>
  <si>
    <t>8.3 (4.7–14.6)</t>
  </si>
  <si>
    <t>≥50,000</t>
  </si>
  <si>
    <t>2.4 (1.0–5.7)</t>
  </si>
  <si>
    <t>6.5 (3.8–11.0)</t>
  </si>
  <si>
    <t>7.1 (4.3–11.7)</t>
  </si>
  <si>
    <t>8.3 (5.2–13.2)</t>
  </si>
  <si>
    <t>8.9 (5.6–14.0)</t>
  </si>
  <si>
    <t>&lt;10,000</t>
  </si>
  <si>
    <t>1.4 (0.4–5.6)</t>
  </si>
  <si>
    <t>2.2 (0.7–6.7)</t>
  </si>
  <si>
    <t>3.0 (1.1–7.8)</t>
  </si>
  <si>
    <t>≥10,000</t>
  </si>
  <si>
    <t>2.9 (1.6–5.3)</t>
  </si>
  <si>
    <t>6.2 (4.1–9.4)</t>
  </si>
  <si>
    <t>6.9 (4.6–10.2)</t>
  </si>
  <si>
    <t>8.3 (5.8–11.9)</t>
  </si>
  <si>
    <t>8.7 (6.1–12.3)</t>
  </si>
  <si>
    <t>Source: Thomas, 2011; PLoS Med. 2011 Mar; 8(3): e1001015.</t>
  </si>
  <si>
    <t>MEN</t>
  </si>
  <si>
    <t>WOMEN</t>
  </si>
  <si>
    <t>CD4 categories in adult males</t>
  </si>
  <si>
    <t>CD4 categories in adult females</t>
  </si>
  <si>
    <t>&lt;50</t>
  </si>
  <si>
    <t>50-99</t>
  </si>
  <si>
    <t>100-199</t>
  </si>
  <si>
    <t>200-249</t>
  </si>
  <si>
    <t>250-349</t>
  </si>
  <si>
    <t>350-500</t>
  </si>
  <si>
    <t>&lt;6 months after ART initiation</t>
  </si>
  <si>
    <t xml:space="preserve">   15-24 years</t>
  </si>
  <si>
    <t>(9.94-23.64)</t>
  </si>
  <si>
    <t>(5.17-13.79)</t>
  </si>
  <si>
    <t>(3.16-8.89)</t>
  </si>
  <si>
    <t>(1.79-6.75)</t>
  </si>
  <si>
    <t>(1.34-4.18)</t>
  </si>
  <si>
    <t>(1.35-6.08)</t>
  </si>
  <si>
    <t>(1.23-7.38)</t>
  </si>
  <si>
    <t>(7.28-17.31)</t>
  </si>
  <si>
    <t>(3.88-9.76)</t>
  </si>
  <si>
    <t>(2.41-6.31)</t>
  </si>
  <si>
    <t>(1.42-4.74)</t>
  </si>
  <si>
    <t>(0.96-2.92)</t>
  </si>
  <si>
    <t>(0.99-4.34)</t>
  </si>
  <si>
    <t>(0.89-5.44)</t>
  </si>
  <si>
    <t xml:space="preserve">   25-34 years</t>
  </si>
  <si>
    <t>(12.75-20.41)</t>
  </si>
  <si>
    <t>(6.52-12.53)</t>
  </si>
  <si>
    <t>(4.01-7.99)</t>
  </si>
  <si>
    <t>(2.23-6.23)</t>
  </si>
  <si>
    <t>(1.57-3.8)</t>
  </si>
  <si>
    <t>(1.56-5.93)</t>
  </si>
  <si>
    <t>(1.29-8.02)</t>
  </si>
  <si>
    <t>(9.21-15.28)</t>
  </si>
  <si>
    <t>(4.82-9.12)</t>
  </si>
  <si>
    <t>(3.06-5.56)</t>
  </si>
  <si>
    <t>(1.69-4.5)</t>
  </si>
  <si>
    <t>(1.17-2.73)</t>
  </si>
  <si>
    <t>(1.16-4.22)</t>
  </si>
  <si>
    <t>(0.94-5.94)</t>
  </si>
  <si>
    <t xml:space="preserve">   35-44 years</t>
  </si>
  <si>
    <t>(14.6-22.48)</t>
  </si>
  <si>
    <t>(7.6-13.81)</t>
  </si>
  <si>
    <t>(4.52-8.43)</t>
  </si>
  <si>
    <t>(2.51-7.07)</t>
  </si>
  <si>
    <t>(1.74-4.32)</t>
  </si>
  <si>
    <t>(1.7-6.75)</t>
  </si>
  <si>
    <t>(1.47-8.98)</t>
  </si>
  <si>
    <t>(10.08-17.12)</t>
  </si>
  <si>
    <t>(5.4-10.35)</t>
  </si>
  <si>
    <t>(3.29-6.32)</t>
  </si>
  <si>
    <t>(1.83-5.14)</t>
  </si>
  <si>
    <t>(1.26-3.18)</t>
  </si>
  <si>
    <t>(1.29-4.74)</t>
  </si>
  <si>
    <t>(1.08-6.58)</t>
  </si>
  <si>
    <t xml:space="preserve">   45+ years</t>
  </si>
  <si>
    <t>(18.88-30.5)</t>
  </si>
  <si>
    <t>(9.88-18.33)</t>
  </si>
  <si>
    <t>(6.05-11.69)</t>
  </si>
  <si>
    <t>(3.34-9.21)</t>
  </si>
  <si>
    <t>(2.34-5.76)</t>
  </si>
  <si>
    <t>(2.21-9.07)</t>
  </si>
  <si>
    <t>(1.92-12.19)</t>
  </si>
  <si>
    <t>(13.19-23.27)</t>
  </si>
  <si>
    <t>(7.15-13.75)</t>
  </si>
  <si>
    <t>(4.33-8.54)</t>
  </si>
  <si>
    <t>(2.51-6.82)</t>
  </si>
  <si>
    <t>(1.7-4.14)</t>
  </si>
  <si>
    <t>(1.65-6.66)</t>
  </si>
  <si>
    <t>(1.36-9.19)</t>
  </si>
  <si>
    <t>6-12 months after ART initiation</t>
  </si>
  <si>
    <t>(5.24-24.12)</t>
  </si>
  <si>
    <t>(3.25-15.37)</t>
  </si>
  <si>
    <t>(2.09-9.81)</t>
  </si>
  <si>
    <t>(1.37-8.91)</t>
  </si>
  <si>
    <t>(1.55-8.62)</t>
  </si>
  <si>
    <t>(2.27-16.69)</t>
  </si>
  <si>
    <t>(0.91-7.66)</t>
  </si>
  <si>
    <t>(3.7-17.03)</t>
  </si>
  <si>
    <t>(2.42-10.96)</t>
  </si>
  <si>
    <t>(1.52-7.02)</t>
  </si>
  <si>
    <t>(1.04-6.05)</t>
  </si>
  <si>
    <t>(1.13-6.23)</t>
  </si>
  <si>
    <t>(1.63-11.51)</t>
  </si>
  <si>
    <t>(0.65-5.06)</t>
  </si>
  <si>
    <t>(5.1-12.05)</t>
  </si>
  <si>
    <t>(3.22-8.06)</t>
  </si>
  <si>
    <t>(1.97-5.42)</t>
  </si>
  <si>
    <t>(1.29-5.09)</t>
  </si>
  <si>
    <t>(1.48-4.88)</t>
  </si>
  <si>
    <t>(1.83-10.18)</t>
  </si>
  <si>
    <t>(0.69-4.89)</t>
  </si>
  <si>
    <t>(3.67-8.71)</t>
  </si>
  <si>
    <t>(2.37-5.8)</t>
  </si>
  <si>
    <t>(1.42-3.79)</t>
  </si>
  <si>
    <t>(0.96-3.39)</t>
  </si>
  <si>
    <t>(1.11-3.23)</t>
  </si>
  <si>
    <t>(1.25-7.07)</t>
  </si>
  <si>
    <t>(0.52-3.16)</t>
  </si>
  <si>
    <t>(5.19-11.19)</t>
  </si>
  <si>
    <t>(3.17-7.79)</t>
  </si>
  <si>
    <t>(1.93-5)</t>
  </si>
  <si>
    <t>(1.24-4.91)</t>
  </si>
  <si>
    <t>(1.44-4.47)</t>
  </si>
  <si>
    <t>(1.69-10.34)</t>
  </si>
  <si>
    <t>(0.66-4.72)</t>
  </si>
  <si>
    <t>(3.59-8.47)</t>
  </si>
  <si>
    <t>(2.18-5.7)</t>
  </si>
  <si>
    <t>(1.41-3.55)</t>
  </si>
  <si>
    <t>(0.92-3.31)</t>
  </si>
  <si>
    <t>(1.05-3.14)</t>
  </si>
  <si>
    <t>(1.16-7.09)</t>
  </si>
  <si>
    <t>(0.47-3.12)</t>
  </si>
  <si>
    <t>(6.13-13.27)</t>
  </si>
  <si>
    <t>(3.91-9.04)</t>
  </si>
  <si>
    <t>(2.35-5.92)</t>
  </si>
  <si>
    <t>(1.46-5.81)</t>
  </si>
  <si>
    <t>(1.68-5.35)</t>
  </si>
  <si>
    <t>(2.04-12.33)</t>
  </si>
  <si>
    <t>(0.76-5.74)</t>
  </si>
  <si>
    <t>(4.3-9.84)</t>
  </si>
  <si>
    <t>(2.73-6.62)</t>
  </si>
  <si>
    <t>(1.67-4.16)</t>
  </si>
  <si>
    <t>(1.14-4.11)</t>
  </si>
  <si>
    <t>(1.23-3.67)</t>
  </si>
  <si>
    <t>(1.45-8.72)</t>
  </si>
  <si>
    <t>(0.57-3.79)</t>
  </si>
  <si>
    <t>&gt;12 months after ART initiation</t>
  </si>
  <si>
    <t>(2.72-12.13)</t>
  </si>
  <si>
    <t>(1.72-8.29)</t>
  </si>
  <si>
    <t>2.4 (1.12-5.31)</t>
  </si>
  <si>
    <t>(0.72-4.73)</t>
  </si>
  <si>
    <t>(0.81-4.58)</t>
  </si>
  <si>
    <t>(1.17-9.21)</t>
  </si>
  <si>
    <t>(0.47-4.16)</t>
  </si>
  <si>
    <t>(2.02-9.01)</t>
  </si>
  <si>
    <t>(1.33-5.81)</t>
  </si>
  <si>
    <t>(0.84-3.71)</t>
  </si>
  <si>
    <t>(0.54-3.3)</t>
  </si>
  <si>
    <t>(0.61-3.34)</t>
  </si>
  <si>
    <t>(0.87-6.4)</t>
  </si>
  <si>
    <t>(0.35-2.77)</t>
  </si>
  <si>
    <t>(2.8-6.44)</t>
  </si>
  <si>
    <t>(1.79-4.33)</t>
  </si>
  <si>
    <t>(1.07-2.87)</t>
  </si>
  <si>
    <t>(0.69-2.76)</t>
  </si>
  <si>
    <t>(0.81-2.63)</t>
  </si>
  <si>
    <t>(0.91-5.54)</t>
  </si>
  <si>
    <t>(0.36-2.62)</t>
  </si>
  <si>
    <t>(2.04-4.71)</t>
  </si>
  <si>
    <t>(1.3-3.09)</t>
  </si>
  <si>
    <t>(0.8-2.02)</t>
  </si>
  <si>
    <t>(0.54-1.84)</t>
  </si>
  <si>
    <t>(0.6-1.78)</t>
  </si>
  <si>
    <t>(0.66-3.81)</t>
  </si>
  <si>
    <t>(0.27-1.78)</t>
  </si>
  <si>
    <t>(2.86-5.78)</t>
  </si>
  <si>
    <t>(1.75-4.15)</t>
  </si>
  <si>
    <t>(1.07-2.64)</t>
  </si>
  <si>
    <t>(0.71-2.62)</t>
  </si>
  <si>
    <t>(0.79-2.42)</t>
  </si>
  <si>
    <t>(0.88-5.86)</t>
  </si>
  <si>
    <t>(0.35-2.6)</t>
  </si>
  <si>
    <t>(2.02-4.32)</t>
  </si>
  <si>
    <t>(1.19-3.06)</t>
  </si>
  <si>
    <t>(0.78-1.86)</t>
  </si>
  <si>
    <t>(0.51-1.82)</t>
  </si>
  <si>
    <t>(0.57-1.66)</t>
  </si>
  <si>
    <t>(0.63-4.2)</t>
  </si>
  <si>
    <t>(0.27-1.73)</t>
  </si>
  <si>
    <t>(3.41-6.93)</t>
  </si>
  <si>
    <t>(2.18-4.62)</t>
  </si>
  <si>
    <t>(0.84-3.04)</t>
  </si>
  <si>
    <t>(0.93-2.94)</t>
  </si>
  <si>
    <t>(1.07-6.37)</t>
  </si>
  <si>
    <t>(0.43-3.19)</t>
  </si>
  <si>
    <t>(2.39-5.11)</t>
  </si>
  <si>
    <t>(1.53-3.42)</t>
  </si>
  <si>
    <t>(0.94-2.2)</t>
  </si>
  <si>
    <t>(0.62-2.09)</t>
  </si>
  <si>
    <t>(0.68-2.03)</t>
  </si>
  <si>
    <t>(0.76-4.71)</t>
  </si>
  <si>
    <t>(0.32-2.04)</t>
  </si>
  <si>
    <t>Source: Anderegg, 2017; AIDS: April 2017 - Volume 31 - Issue - p S31–S40</t>
  </si>
  <si>
    <t xml:space="preserve">Corrected mortality rates (per 100 person years) including 95% confidence intervals for East Africa (all cohorts). Corrected for lost to follow up in a patient tracing study in Kenya. </t>
  </si>
  <si>
    <t>Derived mortaltiy rates</t>
  </si>
  <si>
    <t>45+</t>
  </si>
  <si>
    <t xml:space="preserve"> 31.4/1000</t>
  </si>
  <si>
    <t xml:space="preserve">Under 5 mortality due to HIV; estimated from DHS </t>
  </si>
  <si>
    <t>Source: Adetunji, 2000; Bulletin of the World Health Organization, 2000, 78: 1200–1206.</t>
  </si>
  <si>
    <t>Source: Negin, 2010; J Acquir Immune Defic Syndr   Volume 55, Number 2, October 1, 2010</t>
  </si>
  <si>
    <t>HIV mortality among older adults in Nyanza 2008-2009</t>
  </si>
  <si>
    <t>65-69</t>
  </si>
  <si>
    <t>70-74</t>
  </si>
  <si>
    <t>75-79</t>
  </si>
  <si>
    <t>All-cause</t>
  </si>
  <si>
    <t>HIV %</t>
  </si>
  <si>
    <t>HIV-mort rate</t>
  </si>
  <si>
    <t xml:space="preserve">Source: Streatfield, 2014 </t>
  </si>
  <si>
    <t>5 - 14 yo</t>
  </si>
  <si>
    <t>2010-2012</t>
  </si>
  <si>
    <t>HIV-negative Fertility %</t>
  </si>
  <si>
    <t xml:space="preserve">Source: Cancer in Sub-Saharan Africa, IARC publication </t>
  </si>
  <si>
    <t xml:space="preserve">Source: Cancer in Sub-Sahara Africa III, in press </t>
  </si>
  <si>
    <t>Age-specific incidence rates of cervical cancer in Eldoret, 2012-2016</t>
  </si>
  <si>
    <t>ASR</t>
  </si>
  <si>
    <t xml:space="preserve">Kisumu </t>
  </si>
  <si>
    <t>Chulaimbo</t>
  </si>
  <si>
    <t>Suba</t>
  </si>
  <si>
    <t>Tabaka</t>
  </si>
  <si>
    <t>ANC HIV prevalence estimates from Nyanza, 1990-2011</t>
  </si>
  <si>
    <t xml:space="preserve">Infant </t>
  </si>
  <si>
    <t>1 - 4 yo</t>
  </si>
  <si>
    <t xml:space="preserve">15- 49 </t>
  </si>
  <si>
    <t xml:space="preserve">50- 64 </t>
  </si>
  <si>
    <t xml:space="preserve">65+ </t>
  </si>
  <si>
    <t xml:space="preserve">Nairobi </t>
  </si>
  <si>
    <t xml:space="preserve">Kilifi </t>
  </si>
  <si>
    <t>Source: Kenya ANC Sentinel Surveillance Reprot, 2011</t>
  </si>
  <si>
    <t>Source: Hawken, 2002; JAIDS, 31: 529-535</t>
  </si>
  <si>
    <t xml:space="preserve">HIV prevalence in a population-based survey in Mombasa; 56.07% agreed to HIV testing </t>
  </si>
  <si>
    <t>Source: Glynn, 2001; AIDS September 7th, 2001 - Volume 15 - Issue 13 - p 1717-1725</t>
  </si>
  <si>
    <t xml:space="preserve">The two clinics covered 80% of pregnant women in the city. In the gen pop, 75% of women and 65% of men were both interviewed and HIV-tested </t>
  </si>
  <si>
    <t>ANC</t>
  </si>
  <si>
    <t>Gen pop</t>
  </si>
  <si>
    <t>UN</t>
  </si>
  <si>
    <t>All women</t>
  </si>
  <si>
    <t xml:space="preserve">All men </t>
  </si>
  <si>
    <t>Total pop</t>
  </si>
  <si>
    <t xml:space="preserve">Women </t>
  </si>
  <si>
    <t>Men</t>
  </si>
  <si>
    <t>Age-standardized (15-40 years old)</t>
  </si>
  <si>
    <t xml:space="preserve">HIV prevalence in two ANC clinics in Kisumu compared to the general population in Kisumu (surveyed); 1997-1998 </t>
  </si>
  <si>
    <t xml:space="preserve">HIV prevalence of men estimated based on reported status of the fathers vs HIV prevalence measured in men in survey </t>
  </si>
  <si>
    <t>20-29</t>
  </si>
  <si>
    <t>all ages</t>
  </si>
  <si>
    <t>HIV-associated mortality rates per 1000 PY at INDEPTH sites</t>
  </si>
  <si>
    <t xml:space="preserve">Source: AIDSinfo (UNAIDS special analysis, 2019) </t>
  </si>
  <si>
    <t>Kenya - original</t>
  </si>
  <si>
    <t xml:space="preserve">Kenya - original </t>
  </si>
  <si>
    <t>Kenya - edited</t>
  </si>
  <si>
    <t>* values in orange was reduced by 40% from the original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</si>
</sst>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  <xf numFmtId="0" fontId="2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22" fillId="0" borderId="0" xfId="49"/>
    <xf numFmtId="0" fontId="15" fillId="0" borderId="0" xfId="0" applyFont="1"/>
    <xf numFmtId="10" fontId="15" fillId="0" borderId="0" xfId="0" applyNumberFormat="1" applyFont="1"/>
    <xf numFmtId="16" fontId="0" fillId="0" borderId="0" xfId="0" applyNumberFormat="1"/>
    <xf numFmtId="0" fontId="0" fillId="0" borderId="0" xfId="0"/>
    <xf numFmtId="0" fontId="0" fillId="0" borderId="0" xfId="0"/>
    <xf numFmtId="0" fontId="1" fillId="30" borderId="0" xfId="39"/>
    <xf numFmtId="0" fontId="1" fillId="14" borderId="0" xfId="23"/>
    <xf numFmtId="0" fontId="0" fillId="0" borderId="0" xfId="0" applyNumberFormat="1"/>
    <xf numFmtId="170" fontId="0" fillId="0" borderId="0" xfId="0" applyNumberFormat="1"/>
    <xf numFmtId="0" fontId="23" fillId="0" borderId="0" xfId="0" applyFont="1"/>
    <xf numFmtId="0" fontId="0" fillId="14" borderId="0" xfId="23" applyFont="1"/>
    <xf numFmtId="0" fontId="0" fillId="0" borderId="0" xfId="0" applyAlignment="1">
      <alignment horizontal="center"/>
    </xf>
    <xf numFmtId="0" fontId="24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risk distribution - Kenya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behavior'!$F$73:$F$88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0.96245199999999997</c:v>
                </c:pt>
                <c:pt idx="4">
                  <c:v>0.8334180000000001</c:v>
                </c:pt>
                <c:pt idx="5">
                  <c:v>0.825658</c:v>
                </c:pt>
                <c:pt idx="6">
                  <c:v>0.84771699999999994</c:v>
                </c:pt>
                <c:pt idx="7">
                  <c:v>0.86167599999999989</c:v>
                </c:pt>
                <c:pt idx="8">
                  <c:v>0.88590000000000002</c:v>
                </c:pt>
                <c:pt idx="9">
                  <c:v>0.87293999999999994</c:v>
                </c:pt>
                <c:pt idx="10">
                  <c:v>0.88538499999999998</c:v>
                </c:pt>
                <c:pt idx="11">
                  <c:v>0.88538499999999998</c:v>
                </c:pt>
                <c:pt idx="12">
                  <c:v>0.88538499999999998</c:v>
                </c:pt>
                <c:pt idx="13">
                  <c:v>0.88538499999999998</c:v>
                </c:pt>
                <c:pt idx="14">
                  <c:v>0.88538499999999998</c:v>
                </c:pt>
                <c:pt idx="15">
                  <c:v>0.88538499999999998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FB2-AE8F-A8AE64D05E98}"/>
            </c:ext>
          </c:extLst>
        </c:ser>
        <c:ser>
          <c:idx val="1"/>
          <c:order val="1"/>
          <c:tx>
            <c:strRef>
              <c:f>'Sexual behavior'!$G$72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behavior'!$G$73:$G$88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3.5205E-2</c:v>
                </c:pt>
                <c:pt idx="4">
                  <c:v>0.157748</c:v>
                </c:pt>
                <c:pt idx="5">
                  <c:v>0.16295100000000001</c:v>
                </c:pt>
                <c:pt idx="6">
                  <c:v>0.149064</c:v>
                </c:pt>
                <c:pt idx="7">
                  <c:v>0.13456400000000002</c:v>
                </c:pt>
                <c:pt idx="8">
                  <c:v>0.11090999999999999</c:v>
                </c:pt>
                <c:pt idx="9">
                  <c:v>0.126001</c:v>
                </c:pt>
                <c:pt idx="10">
                  <c:v>0.10356299999999999</c:v>
                </c:pt>
                <c:pt idx="11">
                  <c:v>0.10356299999999999</c:v>
                </c:pt>
                <c:pt idx="12">
                  <c:v>0.10356299999999999</c:v>
                </c:pt>
                <c:pt idx="13">
                  <c:v>0.10356299999999999</c:v>
                </c:pt>
                <c:pt idx="14">
                  <c:v>0.10356299999999999</c:v>
                </c:pt>
                <c:pt idx="15">
                  <c:v>0.10356299999999999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FB2-AE8F-A8AE64D05E98}"/>
            </c:ext>
          </c:extLst>
        </c:ser>
        <c:ser>
          <c:idx val="2"/>
          <c:order val="2"/>
          <c:tx>
            <c:strRef>
              <c:f>'Sexual behavior'!$H$72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behavior'!$H$73:$H$88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2.343E-3</c:v>
                </c:pt>
                <c:pt idx="4">
                  <c:v>8.8339999999999998E-3</c:v>
                </c:pt>
                <c:pt idx="5">
                  <c:v>1.1391E-2</c:v>
                </c:pt>
                <c:pt idx="6">
                  <c:v>3.2200000000000002E-3</c:v>
                </c:pt>
                <c:pt idx="7">
                  <c:v>3.7599999999999999E-3</c:v>
                </c:pt>
                <c:pt idx="8">
                  <c:v>3.1900000000000001E-3</c:v>
                </c:pt>
                <c:pt idx="9">
                  <c:v>1.059E-3</c:v>
                </c:pt>
                <c:pt idx="10">
                  <c:v>1.1051999999999999E-2</c:v>
                </c:pt>
                <c:pt idx="11">
                  <c:v>1.1051999999999999E-2</c:v>
                </c:pt>
                <c:pt idx="12">
                  <c:v>1.1051999999999999E-2</c:v>
                </c:pt>
                <c:pt idx="13">
                  <c:v>1.1051999999999999E-2</c:v>
                </c:pt>
                <c:pt idx="14">
                  <c:v>1.1051999999999999E-2</c:v>
                </c:pt>
                <c:pt idx="15">
                  <c:v>1.1051999999999999E-2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9-4FB2-AE8F-A8AE64D0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Risk Distribution - Nyanza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behavior'!$C$54:$C$69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0.97724200000000006</c:v>
                </c:pt>
                <c:pt idx="4">
                  <c:v>0.98365199999999997</c:v>
                </c:pt>
                <c:pt idx="5">
                  <c:v>0.98638800000000004</c:v>
                </c:pt>
                <c:pt idx="6">
                  <c:v>0.98581200000000002</c:v>
                </c:pt>
                <c:pt idx="7">
                  <c:v>0.98610100000000001</c:v>
                </c:pt>
                <c:pt idx="8">
                  <c:v>0.98610100000000001</c:v>
                </c:pt>
                <c:pt idx="9">
                  <c:v>0.98610100000000001</c:v>
                </c:pt>
                <c:pt idx="10">
                  <c:v>0.98610100000000001</c:v>
                </c:pt>
                <c:pt idx="11">
                  <c:v>0.98610100000000001</c:v>
                </c:pt>
                <c:pt idx="12">
                  <c:v>0.98610100000000001</c:v>
                </c:pt>
                <c:pt idx="13">
                  <c:v>0.98610100000000001</c:v>
                </c:pt>
                <c:pt idx="14">
                  <c:v>0.98610100000000001</c:v>
                </c:pt>
                <c:pt idx="15">
                  <c:v>0.98610100000000001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690-B9A6-821A94AD4ACC}"/>
            </c:ext>
          </c:extLst>
        </c:ser>
        <c:ser>
          <c:idx val="1"/>
          <c:order val="1"/>
          <c:tx>
            <c:strRef>
              <c:f>'Sexual behavior'!$D$53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behavior'!$D$54:$D$69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2.2758E-2</c:v>
                </c:pt>
                <c:pt idx="4">
                  <c:v>1.6348000000000001E-2</c:v>
                </c:pt>
                <c:pt idx="5">
                  <c:v>1.3612000000000001E-2</c:v>
                </c:pt>
                <c:pt idx="6">
                  <c:v>1.4187999999999999E-2</c:v>
                </c:pt>
                <c:pt idx="7">
                  <c:v>1.3899E-2</c:v>
                </c:pt>
                <c:pt idx="8">
                  <c:v>1.3899E-2</c:v>
                </c:pt>
                <c:pt idx="9">
                  <c:v>1.3899E-2</c:v>
                </c:pt>
                <c:pt idx="10">
                  <c:v>1.3899E-2</c:v>
                </c:pt>
                <c:pt idx="11">
                  <c:v>1.3899E-2</c:v>
                </c:pt>
                <c:pt idx="12">
                  <c:v>1.3899E-2</c:v>
                </c:pt>
                <c:pt idx="13">
                  <c:v>1.3899E-2</c:v>
                </c:pt>
                <c:pt idx="14">
                  <c:v>1.3899E-2</c:v>
                </c:pt>
                <c:pt idx="15">
                  <c:v>1.3899E-2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690-B9A6-821A94AD4ACC}"/>
            </c:ext>
          </c:extLst>
        </c:ser>
        <c:ser>
          <c:idx val="2"/>
          <c:order val="2"/>
          <c:tx>
            <c:strRef>
              <c:f>'Sexual behavior'!$E$53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behavior'!$E$54:$E$69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690-B9A6-821A94A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Risk Distribution - Nyanza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behavior'!$F$54:$F$69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0.94561300000000004</c:v>
                </c:pt>
                <c:pt idx="4">
                  <c:v>0.70302699999999996</c:v>
                </c:pt>
                <c:pt idx="5">
                  <c:v>0.82045599999999996</c:v>
                </c:pt>
                <c:pt idx="6">
                  <c:v>0.723132</c:v>
                </c:pt>
                <c:pt idx="7">
                  <c:v>0.75290500000000005</c:v>
                </c:pt>
                <c:pt idx="8">
                  <c:v>0.85122299999999995</c:v>
                </c:pt>
                <c:pt idx="9">
                  <c:v>0.78364100000000003</c:v>
                </c:pt>
                <c:pt idx="10">
                  <c:v>0.87470700000000001</c:v>
                </c:pt>
                <c:pt idx="11">
                  <c:v>0.87470700000000001</c:v>
                </c:pt>
                <c:pt idx="12">
                  <c:v>0.87470700000000001</c:v>
                </c:pt>
                <c:pt idx="13">
                  <c:v>0.87470700000000001</c:v>
                </c:pt>
                <c:pt idx="14">
                  <c:v>0.87470700000000001</c:v>
                </c:pt>
                <c:pt idx="15">
                  <c:v>0.87470700000000001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6-4F65-9C07-0058996316E0}"/>
            </c:ext>
          </c:extLst>
        </c:ser>
        <c:ser>
          <c:idx val="1"/>
          <c:order val="1"/>
          <c:tx>
            <c:strRef>
              <c:f>'Sexual behavior'!$G$53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behavior'!$G$54:$G$69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4.9265999999999997E-2</c:v>
                </c:pt>
                <c:pt idx="4">
                  <c:v>0.26459899999999997</c:v>
                </c:pt>
                <c:pt idx="5">
                  <c:v>0.17419699999999999</c:v>
                </c:pt>
                <c:pt idx="6">
                  <c:v>0.276868</c:v>
                </c:pt>
                <c:pt idx="7">
                  <c:v>0.24307100000000001</c:v>
                </c:pt>
                <c:pt idx="8">
                  <c:v>0.12883500000000001</c:v>
                </c:pt>
                <c:pt idx="9">
                  <c:v>0.216359</c:v>
                </c:pt>
                <c:pt idx="10">
                  <c:v>0.117185</c:v>
                </c:pt>
                <c:pt idx="11">
                  <c:v>0.117185</c:v>
                </c:pt>
                <c:pt idx="12">
                  <c:v>0.117185</c:v>
                </c:pt>
                <c:pt idx="13">
                  <c:v>0.117185</c:v>
                </c:pt>
                <c:pt idx="14">
                  <c:v>0.117185</c:v>
                </c:pt>
                <c:pt idx="15">
                  <c:v>0.117185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6-4F65-9C07-0058996316E0}"/>
            </c:ext>
          </c:extLst>
        </c:ser>
        <c:ser>
          <c:idx val="2"/>
          <c:order val="2"/>
          <c:tx>
            <c:strRef>
              <c:f>'Sexual behavior'!$H$53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behavior'!$H$54:$H$69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5.1209999999999997E-3</c:v>
                </c:pt>
                <c:pt idx="4">
                  <c:v>3.2374E-2</c:v>
                </c:pt>
                <c:pt idx="5">
                  <c:v>5.3480000000000003E-3</c:v>
                </c:pt>
                <c:pt idx="6">
                  <c:v>4.6860000000000001E-3</c:v>
                </c:pt>
                <c:pt idx="7">
                  <c:v>4.0239999999999998E-3</c:v>
                </c:pt>
                <c:pt idx="8">
                  <c:v>1.9942000000000001E-2</c:v>
                </c:pt>
                <c:pt idx="9">
                  <c:v>1.4025000000000001E-2</c:v>
                </c:pt>
                <c:pt idx="10">
                  <c:v>8.1080000000000006E-3</c:v>
                </c:pt>
                <c:pt idx="11">
                  <c:v>8.1080000000000006E-3</c:v>
                </c:pt>
                <c:pt idx="12">
                  <c:v>8.1080000000000006E-3</c:v>
                </c:pt>
                <c:pt idx="13">
                  <c:v>8.1080000000000006E-3</c:v>
                </c:pt>
                <c:pt idx="14">
                  <c:v>8.1080000000000006E-3</c:v>
                </c:pt>
                <c:pt idx="15">
                  <c:v>8.1080000000000006E-3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6-4F65-9C07-00589963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risk distribution - Kenya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behavior'!$C$73:$C$88</c:f>
              <c:numCache>
                <c:formatCode>0.0000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0.98975599999999997</c:v>
                </c:pt>
                <c:pt idx="4">
                  <c:v>0.97952399999999995</c:v>
                </c:pt>
                <c:pt idx="5">
                  <c:v>0.98680599999999996</c:v>
                </c:pt>
                <c:pt idx="6">
                  <c:v>0.98374700000000004</c:v>
                </c:pt>
                <c:pt idx="7">
                  <c:v>0.98370900000000006</c:v>
                </c:pt>
                <c:pt idx="8">
                  <c:v>0.99171000000000009</c:v>
                </c:pt>
                <c:pt idx="9">
                  <c:v>0.99118399999999995</c:v>
                </c:pt>
                <c:pt idx="10">
                  <c:v>0.99118399999999995</c:v>
                </c:pt>
                <c:pt idx="11">
                  <c:v>0.99118399999999995</c:v>
                </c:pt>
                <c:pt idx="12">
                  <c:v>0.99118399999999995</c:v>
                </c:pt>
                <c:pt idx="13">
                  <c:v>0.99118399999999995</c:v>
                </c:pt>
                <c:pt idx="14">
                  <c:v>0.99118399999999995</c:v>
                </c:pt>
                <c:pt idx="15">
                  <c:v>0.99118399999999995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D37-B546-0BD8ADC30B1E}"/>
            </c:ext>
          </c:extLst>
        </c:ser>
        <c:ser>
          <c:idx val="1"/>
          <c:order val="1"/>
          <c:tx>
            <c:strRef>
              <c:f>'Sexual behavior'!$D$72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behavior'!$D$73:$D$88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1.0069E-2</c:v>
                </c:pt>
                <c:pt idx="4">
                  <c:v>2.0166E-2</c:v>
                </c:pt>
                <c:pt idx="5">
                  <c:v>1.2837000000000001E-2</c:v>
                </c:pt>
                <c:pt idx="6">
                  <c:v>1.6253E-2</c:v>
                </c:pt>
                <c:pt idx="7">
                  <c:v>1.5713999999999999E-2</c:v>
                </c:pt>
                <c:pt idx="8">
                  <c:v>7.8080000000000007E-3</c:v>
                </c:pt>
                <c:pt idx="9">
                  <c:v>8.8160000000000009E-3</c:v>
                </c:pt>
                <c:pt idx="10">
                  <c:v>8.8160000000000009E-3</c:v>
                </c:pt>
                <c:pt idx="11">
                  <c:v>8.8160000000000009E-3</c:v>
                </c:pt>
                <c:pt idx="12">
                  <c:v>8.8160000000000009E-3</c:v>
                </c:pt>
                <c:pt idx="13">
                  <c:v>8.8160000000000009E-3</c:v>
                </c:pt>
                <c:pt idx="14">
                  <c:v>8.8160000000000009E-3</c:v>
                </c:pt>
                <c:pt idx="15">
                  <c:v>8.8160000000000009E-3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D37-B546-0BD8ADC30B1E}"/>
            </c:ext>
          </c:extLst>
        </c:ser>
        <c:ser>
          <c:idx val="2"/>
          <c:order val="2"/>
          <c:tx>
            <c:strRef>
              <c:f>'Sexual behavior'!$E$72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behavior'!$E$73:$E$88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1.7500000000000003E-4</c:v>
                </c:pt>
                <c:pt idx="4">
                  <c:v>3.1E-4</c:v>
                </c:pt>
                <c:pt idx="5">
                  <c:v>3.57E-4</c:v>
                </c:pt>
                <c:pt idx="6">
                  <c:v>4.6700000000000002E-4</c:v>
                </c:pt>
                <c:pt idx="7">
                  <c:v>5.7700000000000004E-4</c:v>
                </c:pt>
                <c:pt idx="8">
                  <c:v>4.8200000000000001E-4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E-4D37-B546-0BD8ADC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125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14</xdr:row>
      <xdr:rowOff>152399</xdr:rowOff>
    </xdr:from>
    <xdr:to>
      <xdr:col>35</xdr:col>
      <xdr:colOff>9525</xdr:colOff>
      <xdr:row>27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</xdr:colOff>
      <xdr:row>28</xdr:row>
      <xdr:rowOff>57150</xdr:rowOff>
    </xdr:from>
    <xdr:to>
      <xdr:col>28</xdr:col>
      <xdr:colOff>314325</xdr:colOff>
      <xdr:row>42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43</xdr:row>
      <xdr:rowOff>47625</xdr:rowOff>
    </xdr:from>
    <xdr:to>
      <xdr:col>28</xdr:col>
      <xdr:colOff>323850</xdr:colOff>
      <xdr:row>57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114300</xdr:rowOff>
    </xdr:to>
    <xdr:sp macro="" textlink="">
      <xdr:nvSpPr>
        <xdr:cNvPr id="2049" name="AutoShape 1" descr="https://images.journals.lww.com/aidsonline/Original.00002030-200108004-00006.T2-6.jpeg"/>
        <xdr:cNvSpPr>
          <a:spLocks noChangeAspect="1" noChangeArrowheads="1"/>
        </xdr:cNvSpPr>
      </xdr:nvSpPr>
      <xdr:spPr bwMode="auto">
        <a:xfrm>
          <a:off x="3048000" y="415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28574</xdr:colOff>
      <xdr:row>223</xdr:row>
      <xdr:rowOff>9526</xdr:rowOff>
    </xdr:from>
    <xdr:to>
      <xdr:col>10</xdr:col>
      <xdr:colOff>218997</xdr:colOff>
      <xdr:row>235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2491026"/>
          <a:ext cx="5676823" cy="24383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238</xdr:row>
      <xdr:rowOff>19050</xdr:rowOff>
    </xdr:from>
    <xdr:to>
      <xdr:col>13</xdr:col>
      <xdr:colOff>133351</xdr:colOff>
      <xdr:row>251</xdr:row>
      <xdr:rowOff>27223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1" y="45358050"/>
          <a:ext cx="7429500" cy="2484673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44</xdr:row>
      <xdr:rowOff>142874</xdr:rowOff>
    </xdr:from>
    <xdr:to>
      <xdr:col>27</xdr:col>
      <xdr:colOff>476251</xdr:colOff>
      <xdr:row>63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533400</xdr:colOff>
      <xdr:row>45</xdr:row>
      <xdr:rowOff>180975</xdr:rowOff>
    </xdr:from>
    <xdr:to>
      <xdr:col>28</xdr:col>
      <xdr:colOff>285751</xdr:colOff>
      <xdr:row>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585787</xdr:colOff>
      <xdr:row>67</xdr:row>
      <xdr:rowOff>152399</xdr:rowOff>
    </xdr:from>
    <xdr:to>
      <xdr:col>28</xdr:col>
      <xdr:colOff>142875</xdr:colOff>
      <xdr:row>86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64</xdr:row>
      <xdr:rowOff>0</xdr:rowOff>
    </xdr:from>
    <xdr:to>
      <xdr:col>26</xdr:col>
      <xdr:colOff>433388</xdr:colOff>
      <xdr:row>82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3</xdr:row>
      <xdr:rowOff>28575</xdr:rowOff>
    </xdr:from>
    <xdr:to>
      <xdr:col>18</xdr:col>
      <xdr:colOff>123825</xdr:colOff>
      <xdr:row>28</xdr:row>
      <xdr:rowOff>28575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600075"/>
          <a:ext cx="36766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  <xdr:twoCellAnchor>
    <xdr:from>
      <xdr:col>7</xdr:col>
      <xdr:colOff>504825</xdr:colOff>
      <xdr:row>75</xdr:row>
      <xdr:rowOff>161925</xdr:rowOff>
    </xdr:from>
    <xdr:to>
      <xdr:col>16</xdr:col>
      <xdr:colOff>342900</xdr:colOff>
      <xdr:row>97</xdr:row>
      <xdr:rowOff>171450</xdr:rowOff>
    </xdr:to>
    <xdr:grpSp>
      <xdr:nvGrpSpPr>
        <xdr:cNvPr id="7" name="Group 6"/>
        <xdr:cNvGrpSpPr/>
      </xdr:nvGrpSpPr>
      <xdr:grpSpPr>
        <a:xfrm>
          <a:off x="4772025" y="14487525"/>
          <a:ext cx="5391150" cy="4200525"/>
          <a:chOff x="6115050" y="11201400"/>
          <a:chExt cx="7561905" cy="5780952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115050" y="11201400"/>
            <a:ext cx="7561905" cy="5780952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9467852" y="11429998"/>
            <a:ext cx="3126923" cy="2564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/>
              <a:t>HIV Estimates</a:t>
            </a:r>
            <a:r>
              <a:rPr lang="en-US" sz="900" baseline="0"/>
              <a:t> Report 2014 (Spectrum)</a:t>
            </a:r>
            <a:endParaRPr lang="en-US" sz="900"/>
          </a:p>
        </xdr:txBody>
      </xdr:sp>
    </xdr:grpSp>
    <xdr:clientData/>
  </xdr:twoCellAnchor>
  <xdr:twoCellAnchor editAs="oneCell">
    <xdr:from>
      <xdr:col>7</xdr:col>
      <xdr:colOff>514350</xdr:colOff>
      <xdr:row>117</xdr:row>
      <xdr:rowOff>114300</xdr:rowOff>
    </xdr:from>
    <xdr:to>
      <xdr:col>18</xdr:col>
      <xdr:colOff>285750</xdr:colOff>
      <xdr:row>140</xdr:row>
      <xdr:rowOff>165129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22440900"/>
          <a:ext cx="6543675" cy="4432329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157</xdr:row>
      <xdr:rowOff>46801</xdr:rowOff>
    </xdr:from>
    <xdr:to>
      <xdr:col>16</xdr:col>
      <xdr:colOff>532684</xdr:colOff>
      <xdr:row>170</xdr:row>
      <xdr:rowOff>123463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05425" y="29993401"/>
          <a:ext cx="5047534" cy="2553162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170</xdr:row>
      <xdr:rowOff>75376</xdr:rowOff>
    </xdr:from>
    <xdr:to>
      <xdr:col>19</xdr:col>
      <xdr:colOff>380162</xdr:colOff>
      <xdr:row>172</xdr:row>
      <xdr:rowOff>122947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24475" y="32498476"/>
          <a:ext cx="6704762" cy="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364021</xdr:colOff>
      <xdr:row>45</xdr:row>
      <xdr:rowOff>66675</xdr:rowOff>
    </xdr:from>
    <xdr:to>
      <xdr:col>14</xdr:col>
      <xdr:colOff>210673</xdr:colOff>
      <xdr:row>59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21" y="8639175"/>
          <a:ext cx="4723452" cy="263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45</xdr:row>
      <xdr:rowOff>123825</xdr:rowOff>
    </xdr:from>
    <xdr:to>
      <xdr:col>24</xdr:col>
      <xdr:colOff>46736</xdr:colOff>
      <xdr:row>59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8696325"/>
          <a:ext cx="5523611" cy="2695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44</xdr:row>
      <xdr:rowOff>142875</xdr:rowOff>
    </xdr:from>
    <xdr:to>
      <xdr:col>9</xdr:col>
      <xdr:colOff>85725</xdr:colOff>
      <xdr:row>68</xdr:row>
      <xdr:rowOff>144930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8524875"/>
          <a:ext cx="5486400" cy="457405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</xdr:row>
      <xdr:rowOff>28575</xdr:rowOff>
    </xdr:from>
    <xdr:to>
      <xdr:col>22</xdr:col>
      <xdr:colOff>533400</xdr:colOff>
      <xdr:row>29</xdr:row>
      <xdr:rowOff>66675</xdr:rowOff>
    </xdr:to>
    <xdr:sp macro="" textlink="">
      <xdr:nvSpPr>
        <xdr:cNvPr id="3" name="TextBox 2"/>
        <xdr:cNvSpPr txBox="1"/>
      </xdr:nvSpPr>
      <xdr:spPr>
        <a:xfrm>
          <a:off x="9439275" y="600075"/>
          <a:ext cx="501015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WHO</a:t>
          </a:r>
          <a:r>
            <a:rPr lang="en-US" sz="1100" baseline="0"/>
            <a:t> ART eligibility: </a:t>
          </a:r>
        </a:p>
        <a:p>
          <a:r>
            <a:rPr lang="en-US" sz="1100" baseline="0"/>
            <a:t>Pre-2013: CD4 &lt;350</a:t>
          </a:r>
        </a:p>
        <a:p>
          <a:r>
            <a:rPr lang="en-US" sz="1100" baseline="0"/>
            <a:t>2013-2015: CD4 &lt;500</a:t>
          </a:r>
        </a:p>
        <a:p>
          <a:r>
            <a:rPr lang="en-US" sz="1100" baseline="0"/>
            <a:t>Post 2015: any CD4</a:t>
          </a:r>
        </a:p>
        <a:p>
          <a:endParaRPr lang="en-US" sz="1100"/>
        </a:p>
        <a:p>
          <a:r>
            <a:rPr lang="en-US" sz="1100"/>
            <a:t>Kenya</a:t>
          </a:r>
          <a:r>
            <a:rPr lang="en-US" sz="1100" baseline="0"/>
            <a:t> ART eligibility (national guideline first published in 2005): </a:t>
          </a:r>
        </a:p>
        <a:p>
          <a:r>
            <a:rPr lang="en-US" sz="1100" baseline="0"/>
            <a:t>2005-2007: CD4 &lt;200</a:t>
          </a:r>
        </a:p>
        <a:p>
          <a:r>
            <a:rPr lang="en-US" sz="1100" baseline="0"/>
            <a:t>2007-2011: CD4 &lt;250 </a:t>
          </a:r>
        </a:p>
        <a:p>
          <a:r>
            <a:rPr lang="en-US" sz="1100" baseline="0"/>
            <a:t>2011-2014: CD4 &lt;350</a:t>
          </a:r>
        </a:p>
        <a:p>
          <a:r>
            <a:rPr lang="en-US" sz="1100" baseline="0"/>
            <a:t>2014-2016: CD4 &lt;500</a:t>
          </a:r>
        </a:p>
        <a:p>
          <a:r>
            <a:rPr lang="en-US" sz="1100" baseline="0"/>
            <a:t>Post 2016: any CD4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180975</xdr:rowOff>
    </xdr:from>
    <xdr:to>
      <xdr:col>18</xdr:col>
      <xdr:colOff>476250</xdr:colOff>
      <xdr:row>21</xdr:row>
      <xdr:rowOff>28575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7524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bi.nlm.nih.gov/pubmed/2587516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opLeftCell="A58" workbookViewId="0">
      <selection activeCell="J85" sqref="J85"/>
    </sheetView>
  </sheetViews>
  <sheetFormatPr defaultRowHeight="15" x14ac:dyDescent="0.25"/>
  <cols>
    <col min="3" max="3" width="10.140625" bestFit="1" customWidth="1"/>
    <col min="4" max="4" width="11.7109375" bestFit="1" customWidth="1"/>
    <col min="5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339</v>
      </c>
      <c r="M1" t="s">
        <v>371</v>
      </c>
    </row>
    <row r="2" spans="1:25" x14ac:dyDescent="0.25">
      <c r="B2" t="s">
        <v>313</v>
      </c>
      <c r="G2" t="s">
        <v>28</v>
      </c>
      <c r="M2" t="s">
        <v>375</v>
      </c>
      <c r="P2" t="s">
        <v>225</v>
      </c>
      <c r="T2" t="s">
        <v>376</v>
      </c>
      <c r="W2" t="s">
        <v>225</v>
      </c>
    </row>
    <row r="3" spans="1:25" x14ac:dyDescent="0.25">
      <c r="B3" t="s">
        <v>249</v>
      </c>
      <c r="C3" t="s">
        <v>225</v>
      </c>
      <c r="D3" t="s">
        <v>220</v>
      </c>
      <c r="E3" t="s">
        <v>144</v>
      </c>
      <c r="G3" t="s">
        <v>249</v>
      </c>
      <c r="H3" t="s">
        <v>220</v>
      </c>
      <c r="I3" t="s">
        <v>225</v>
      </c>
      <c r="J3" t="s">
        <v>144</v>
      </c>
      <c r="M3" t="s">
        <v>372</v>
      </c>
      <c r="N3" t="s">
        <v>373</v>
      </c>
      <c r="O3" t="s">
        <v>374</v>
      </c>
      <c r="P3" t="s">
        <v>372</v>
      </c>
      <c r="Q3" t="s">
        <v>373</v>
      </c>
      <c r="R3" t="s">
        <v>374</v>
      </c>
      <c r="T3" t="s">
        <v>372</v>
      </c>
      <c r="U3" t="s">
        <v>373</v>
      </c>
      <c r="V3" t="s">
        <v>374</v>
      </c>
      <c r="W3" t="s">
        <v>372</v>
      </c>
      <c r="X3" t="s">
        <v>373</v>
      </c>
      <c r="Y3" t="s">
        <v>374</v>
      </c>
    </row>
    <row r="4" spans="1:25" x14ac:dyDescent="0.25">
      <c r="B4" t="s">
        <v>325</v>
      </c>
      <c r="C4" s="4"/>
      <c r="D4" s="4"/>
      <c r="E4" s="16"/>
      <c r="G4" t="s">
        <v>325</v>
      </c>
      <c r="H4" s="4">
        <v>1422021</v>
      </c>
      <c r="I4" s="4">
        <v>1421385</v>
      </c>
      <c r="J4" s="4">
        <f>SUM(H4:I4)</f>
        <v>2843406</v>
      </c>
      <c r="L4" t="s">
        <v>325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326</v>
      </c>
      <c r="C5" s="4"/>
      <c r="D5" s="4"/>
      <c r="E5" s="4"/>
      <c r="G5" s="15" t="s">
        <v>326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326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323</v>
      </c>
      <c r="C6" s="4"/>
      <c r="D6" s="4"/>
      <c r="E6" s="4"/>
      <c r="G6" s="15" t="s">
        <v>323</v>
      </c>
      <c r="H6" s="4">
        <v>1050932</v>
      </c>
      <c r="I6">
        <v>1023839</v>
      </c>
      <c r="J6" s="4">
        <f t="shared" si="4"/>
        <v>2074771</v>
      </c>
      <c r="L6" s="15" t="s">
        <v>323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314</v>
      </c>
      <c r="C7" s="4"/>
      <c r="D7" s="4"/>
      <c r="E7" s="4"/>
      <c r="G7" t="s">
        <v>314</v>
      </c>
      <c r="H7" s="4">
        <v>854123</v>
      </c>
      <c r="I7">
        <v>887722</v>
      </c>
      <c r="J7" s="4">
        <f t="shared" si="4"/>
        <v>1741845</v>
      </c>
      <c r="L7" t="s">
        <v>314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315</v>
      </c>
      <c r="C8" s="4"/>
      <c r="D8" s="4"/>
      <c r="E8" s="4"/>
      <c r="G8" t="s">
        <v>315</v>
      </c>
      <c r="H8" s="4">
        <v>641401</v>
      </c>
      <c r="I8">
        <v>686003</v>
      </c>
      <c r="J8" s="4">
        <f t="shared" si="4"/>
        <v>1327404</v>
      </c>
      <c r="L8" t="s">
        <v>315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316</v>
      </c>
      <c r="C9" s="4"/>
      <c r="D9" s="4"/>
      <c r="E9" s="4"/>
      <c r="G9" t="s">
        <v>316</v>
      </c>
      <c r="H9" s="4">
        <v>514451</v>
      </c>
      <c r="I9">
        <v>541261</v>
      </c>
      <c r="J9" s="4">
        <f t="shared" si="4"/>
        <v>1055712</v>
      </c>
      <c r="L9" t="s">
        <v>316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317</v>
      </c>
      <c r="C10" s="4"/>
      <c r="D10" s="4"/>
      <c r="E10" s="4"/>
      <c r="G10" t="s">
        <v>317</v>
      </c>
      <c r="H10" s="4">
        <v>405385</v>
      </c>
      <c r="I10">
        <v>412691</v>
      </c>
      <c r="J10" s="4">
        <f t="shared" si="4"/>
        <v>818076</v>
      </c>
      <c r="L10" t="s">
        <v>317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318</v>
      </c>
      <c r="C11" s="4"/>
      <c r="D11" s="4"/>
      <c r="E11" s="4"/>
      <c r="G11" t="s">
        <v>318</v>
      </c>
      <c r="H11" s="4">
        <v>290227</v>
      </c>
      <c r="I11">
        <v>325367</v>
      </c>
      <c r="J11" s="4">
        <f t="shared" si="4"/>
        <v>615594</v>
      </c>
      <c r="L11" t="s">
        <v>318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319</v>
      </c>
      <c r="C12" s="4"/>
      <c r="D12" s="4"/>
      <c r="E12" s="4"/>
      <c r="G12" t="s">
        <v>319</v>
      </c>
      <c r="H12" s="4">
        <v>261480</v>
      </c>
      <c r="I12">
        <v>273702</v>
      </c>
      <c r="J12" s="4">
        <f t="shared" si="4"/>
        <v>535182</v>
      </c>
      <c r="L12" t="s">
        <v>319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320</v>
      </c>
      <c r="C13" s="4"/>
      <c r="D13" s="4"/>
      <c r="E13" s="4"/>
      <c r="G13" t="s">
        <v>320</v>
      </c>
      <c r="H13" s="4">
        <v>218914</v>
      </c>
      <c r="I13">
        <v>221965</v>
      </c>
      <c r="J13" s="4">
        <f t="shared" si="4"/>
        <v>440879</v>
      </c>
      <c r="L13" t="s">
        <v>320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321</v>
      </c>
      <c r="C14" s="4"/>
      <c r="D14" s="4"/>
      <c r="E14" s="4"/>
      <c r="G14" t="s">
        <v>321</v>
      </c>
      <c r="H14" s="4">
        <v>182908</v>
      </c>
      <c r="I14">
        <v>191022</v>
      </c>
      <c r="J14" s="4">
        <f t="shared" si="4"/>
        <v>373930</v>
      </c>
      <c r="L14" t="s">
        <v>321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322</v>
      </c>
      <c r="C15" s="4"/>
      <c r="D15" s="4"/>
      <c r="E15" s="4"/>
      <c r="G15" t="s">
        <v>322</v>
      </c>
      <c r="H15" s="4">
        <v>140777</v>
      </c>
      <c r="I15">
        <v>134534</v>
      </c>
      <c r="J15" s="4">
        <f t="shared" si="4"/>
        <v>275311</v>
      </c>
      <c r="L15" t="s">
        <v>322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327</v>
      </c>
      <c r="C16" s="4"/>
      <c r="D16" s="4"/>
      <c r="E16" s="4"/>
      <c r="G16" t="s">
        <v>327</v>
      </c>
      <c r="H16" s="4">
        <v>107710</v>
      </c>
      <c r="I16">
        <v>109518</v>
      </c>
      <c r="J16" s="4">
        <f t="shared" si="4"/>
        <v>217228</v>
      </c>
      <c r="L16" t="s">
        <v>327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328</v>
      </c>
      <c r="C17" s="4"/>
      <c r="D17" s="4"/>
      <c r="E17" s="4"/>
      <c r="G17" t="s">
        <v>328</v>
      </c>
      <c r="H17" s="4">
        <v>99906</v>
      </c>
      <c r="I17">
        <v>83221</v>
      </c>
      <c r="J17" s="4">
        <f t="shared" si="4"/>
        <v>183127</v>
      </c>
      <c r="L17" t="s">
        <v>328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329</v>
      </c>
      <c r="C18" s="4"/>
      <c r="D18" s="4"/>
      <c r="E18" s="4"/>
      <c r="G18" t="s">
        <v>329</v>
      </c>
      <c r="H18" s="4">
        <v>66369</v>
      </c>
      <c r="I18">
        <v>62539</v>
      </c>
      <c r="J18" s="4">
        <f t="shared" si="4"/>
        <v>128908</v>
      </c>
      <c r="L18" t="s">
        <v>329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330</v>
      </c>
      <c r="C19" s="4"/>
      <c r="D19" s="4"/>
      <c r="E19" s="4"/>
      <c r="G19" t="s">
        <v>330</v>
      </c>
      <c r="H19" s="4">
        <v>87766</v>
      </c>
      <c r="I19">
        <v>86597</v>
      </c>
      <c r="J19" s="4">
        <f t="shared" si="4"/>
        <v>174363</v>
      </c>
      <c r="L19" t="s">
        <v>330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331</v>
      </c>
      <c r="C20" s="4"/>
      <c r="D20" s="4"/>
      <c r="E20" s="4"/>
      <c r="G20" t="s">
        <v>331</v>
      </c>
      <c r="H20" s="4"/>
      <c r="I20" s="4"/>
      <c r="J20" s="4"/>
      <c r="L20" t="s">
        <v>331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324</v>
      </c>
      <c r="C21" s="4"/>
      <c r="D21" s="4"/>
      <c r="E21" s="4"/>
      <c r="G21" t="s">
        <v>324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>
        <f>SUM(H4:H21)</f>
        <v>7591461</v>
      </c>
      <c r="I22" s="4">
        <f>SUM(I4:I21)</f>
        <v>7706115</v>
      </c>
      <c r="J22" s="4">
        <f>SUM(J4:J21)</f>
        <v>15297576</v>
      </c>
    </row>
    <row r="26" spans="1:25" x14ac:dyDescent="0.25">
      <c r="A26" s="2" t="s">
        <v>312</v>
      </c>
    </row>
    <row r="27" spans="1:25" x14ac:dyDescent="0.25">
      <c r="L27" t="s">
        <v>370</v>
      </c>
      <c r="R27" t="s">
        <v>391</v>
      </c>
    </row>
    <row r="28" spans="1:25" x14ac:dyDescent="0.25">
      <c r="B28" t="s">
        <v>313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249</v>
      </c>
      <c r="C29" t="s">
        <v>225</v>
      </c>
      <c r="D29" t="s">
        <v>220</v>
      </c>
      <c r="E29" t="s">
        <v>144</v>
      </c>
      <c r="G29" t="s">
        <v>249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325</v>
      </c>
      <c r="C30" s="4">
        <v>328243</v>
      </c>
      <c r="D30" s="4">
        <v>328748</v>
      </c>
      <c r="E30" s="16">
        <v>656991</v>
      </c>
      <c r="G30" t="s">
        <v>325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326</v>
      </c>
      <c r="C31" s="4">
        <v>291272</v>
      </c>
      <c r="D31" s="4">
        <v>293873</v>
      </c>
      <c r="E31" s="4">
        <v>585145</v>
      </c>
      <c r="G31" s="15" t="s">
        <v>326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323</v>
      </c>
      <c r="C32" s="4">
        <v>253763</v>
      </c>
      <c r="D32" s="4">
        <v>258326</v>
      </c>
      <c r="E32" s="4">
        <v>512089</v>
      </c>
      <c r="G32" s="15" t="s">
        <v>323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314</v>
      </c>
      <c r="C33" s="4">
        <v>194194</v>
      </c>
      <c r="D33" s="4">
        <v>189848</v>
      </c>
      <c r="E33" s="4">
        <v>384042</v>
      </c>
      <c r="G33" t="s">
        <v>314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315</v>
      </c>
      <c r="C34" s="4">
        <v>161014</v>
      </c>
      <c r="D34" s="4">
        <v>118217</v>
      </c>
      <c r="E34" s="4">
        <v>279231</v>
      </c>
      <c r="G34" t="s">
        <v>315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316</v>
      </c>
      <c r="C35" s="4">
        <v>136441</v>
      </c>
      <c r="D35" s="4">
        <v>99511</v>
      </c>
      <c r="E35" s="4">
        <v>235952</v>
      </c>
      <c r="G35" t="s">
        <v>316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317</v>
      </c>
      <c r="C36" s="4">
        <v>96154</v>
      </c>
      <c r="D36" s="4">
        <v>79736</v>
      </c>
      <c r="E36" s="4">
        <v>175890</v>
      </c>
      <c r="G36" t="s">
        <v>317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318</v>
      </c>
      <c r="C37" s="4">
        <v>77231</v>
      </c>
      <c r="D37" s="4">
        <v>62965</v>
      </c>
      <c r="E37" s="4">
        <v>140196</v>
      </c>
      <c r="G37" t="s">
        <v>318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319</v>
      </c>
      <c r="C38" s="4">
        <v>61401</v>
      </c>
      <c r="D38" s="4">
        <v>52035</v>
      </c>
      <c r="E38" s="4">
        <v>113436</v>
      </c>
      <c r="G38" t="s">
        <v>319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320</v>
      </c>
      <c r="C39" s="4">
        <v>51664</v>
      </c>
      <c r="D39" s="4">
        <v>39713</v>
      </c>
      <c r="E39" s="4">
        <v>91377</v>
      </c>
      <c r="G39" t="s">
        <v>320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321</v>
      </c>
      <c r="C40" s="4">
        <v>45218</v>
      </c>
      <c r="D40" s="4">
        <v>37179</v>
      </c>
      <c r="E40" s="4">
        <v>82397</v>
      </c>
      <c r="G40" t="s">
        <v>321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322</v>
      </c>
      <c r="C41" s="4">
        <v>39496</v>
      </c>
      <c r="D41" s="4">
        <v>32454</v>
      </c>
      <c r="E41" s="4">
        <v>71950</v>
      </c>
      <c r="G41" t="s">
        <v>322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327</v>
      </c>
      <c r="C42" s="4">
        <v>30651</v>
      </c>
      <c r="D42" s="4">
        <v>26180</v>
      </c>
      <c r="E42" s="4">
        <v>56831</v>
      </c>
      <c r="G42" t="s">
        <v>327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328</v>
      </c>
      <c r="C43" s="4">
        <v>22800</v>
      </c>
      <c r="D43" s="4">
        <v>19976</v>
      </c>
      <c r="E43" s="4">
        <v>42776</v>
      </c>
      <c r="G43" t="s">
        <v>328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329</v>
      </c>
      <c r="C44" s="4">
        <v>15793</v>
      </c>
      <c r="D44" s="4">
        <v>15387</v>
      </c>
      <c r="E44" s="4">
        <v>31180</v>
      </c>
      <c r="G44" t="s">
        <v>329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330</v>
      </c>
      <c r="C45" s="4">
        <v>9528</v>
      </c>
      <c r="D45" s="4">
        <v>11952</v>
      </c>
      <c r="E45" s="4">
        <v>21480</v>
      </c>
      <c r="G45" t="s">
        <v>330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331</v>
      </c>
      <c r="C46" s="4">
        <v>11462</v>
      </c>
      <c r="D46" s="4">
        <v>11201</v>
      </c>
      <c r="E46" s="4">
        <v>22663</v>
      </c>
      <c r="G46" t="s">
        <v>331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324</v>
      </c>
      <c r="C47" s="4">
        <v>1929</v>
      </c>
      <c r="D47" s="4">
        <v>1607</v>
      </c>
      <c r="E47" s="4">
        <v>3536</v>
      </c>
      <c r="G47" t="s">
        <v>324</v>
      </c>
      <c r="H47" s="4">
        <v>10509</v>
      </c>
      <c r="I47" s="4">
        <v>14741</v>
      </c>
      <c r="J47" s="4">
        <v>25250</v>
      </c>
      <c r="L47">
        <f>SUM(L30:L46)</f>
        <v>52.07415568485289</v>
      </c>
      <c r="M47">
        <f>SUM(M30:M46)</f>
        <v>47.825022054869436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332</v>
      </c>
    </row>
    <row r="51" spans="1:18" x14ac:dyDescent="0.25">
      <c r="B51" t="s">
        <v>333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334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335</v>
      </c>
      <c r="C60">
        <v>2.2000000000000002</v>
      </c>
      <c r="D60">
        <v>3.4</v>
      </c>
    </row>
    <row r="61" spans="1:18" x14ac:dyDescent="0.25">
      <c r="B61" t="s">
        <v>336</v>
      </c>
      <c r="C61">
        <v>2.8</v>
      </c>
      <c r="D61">
        <v>3.4</v>
      </c>
    </row>
    <row r="62" spans="1:18" x14ac:dyDescent="0.25">
      <c r="B62" t="s">
        <v>337</v>
      </c>
      <c r="C62">
        <v>2.2999999999999998</v>
      </c>
      <c r="D62">
        <v>2.9</v>
      </c>
    </row>
    <row r="64" spans="1:18" x14ac:dyDescent="0.25">
      <c r="B64" t="s">
        <v>338</v>
      </c>
      <c r="R64" t="s">
        <v>391</v>
      </c>
    </row>
    <row r="65" spans="2:19" x14ac:dyDescent="0.25">
      <c r="B65" t="s">
        <v>313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249</v>
      </c>
      <c r="C66" t="s">
        <v>225</v>
      </c>
      <c r="D66" t="s">
        <v>220</v>
      </c>
      <c r="E66" t="s">
        <v>144</v>
      </c>
      <c r="G66" t="s">
        <v>249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325</v>
      </c>
      <c r="C67" s="4">
        <v>352462</v>
      </c>
      <c r="D67" s="4">
        <v>355120</v>
      </c>
      <c r="E67" s="4">
        <f>SUM(C67:D67)</f>
        <v>707582</v>
      </c>
      <c r="G67" t="s">
        <v>325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326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326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323</v>
      </c>
      <c r="C69" s="4">
        <v>337015</v>
      </c>
      <c r="D69" s="4">
        <v>344306</v>
      </c>
      <c r="E69" s="4">
        <f t="shared" si="17"/>
        <v>681321</v>
      </c>
      <c r="G69" s="15" t="s">
        <v>323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314</v>
      </c>
      <c r="C70" s="4">
        <v>281107</v>
      </c>
      <c r="D70" s="4">
        <v>275864</v>
      </c>
      <c r="E70" s="4">
        <f t="shared" si="17"/>
        <v>556971</v>
      </c>
      <c r="G70" t="s">
        <v>314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315</v>
      </c>
      <c r="C71" s="4">
        <v>224623</v>
      </c>
      <c r="D71" s="4">
        <v>176491</v>
      </c>
      <c r="E71" s="4">
        <f t="shared" si="17"/>
        <v>401114</v>
      </c>
      <c r="G71" t="s">
        <v>315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316</v>
      </c>
      <c r="C72" s="4">
        <v>162798</v>
      </c>
      <c r="D72" s="4">
        <v>127695</v>
      </c>
      <c r="E72" s="4">
        <f t="shared" si="17"/>
        <v>290493</v>
      </c>
      <c r="G72" t="s">
        <v>316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317</v>
      </c>
      <c r="C73" s="4">
        <v>123137</v>
      </c>
      <c r="D73" s="4">
        <v>100423</v>
      </c>
      <c r="E73" s="4">
        <f t="shared" si="17"/>
        <v>223560</v>
      </c>
      <c r="G73" t="s">
        <v>317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318</v>
      </c>
      <c r="C74" s="4">
        <v>113502</v>
      </c>
      <c r="D74" s="4">
        <v>90340</v>
      </c>
      <c r="E74" s="4">
        <f t="shared" si="17"/>
        <v>203842</v>
      </c>
      <c r="G74" t="s">
        <v>318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319</v>
      </c>
      <c r="C75" s="4">
        <v>84192</v>
      </c>
      <c r="D75" s="4">
        <v>70808</v>
      </c>
      <c r="E75" s="4">
        <f t="shared" si="17"/>
        <v>155000</v>
      </c>
      <c r="G75" t="s">
        <v>319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320</v>
      </c>
      <c r="C76" s="4">
        <v>69798</v>
      </c>
      <c r="D76" s="4">
        <v>58367</v>
      </c>
      <c r="E76" s="4">
        <f t="shared" si="17"/>
        <v>128165</v>
      </c>
      <c r="G76" t="s">
        <v>320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321</v>
      </c>
      <c r="C77" s="4">
        <v>54840</v>
      </c>
      <c r="D77" s="4">
        <v>48982</v>
      </c>
      <c r="E77" s="4">
        <f t="shared" si="17"/>
        <v>103822</v>
      </c>
      <c r="G77" t="s">
        <v>321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322</v>
      </c>
      <c r="C78" s="4">
        <v>40107</v>
      </c>
      <c r="D78" s="4">
        <v>33143</v>
      </c>
      <c r="E78" s="4">
        <f t="shared" si="17"/>
        <v>73250</v>
      </c>
      <c r="G78" t="s">
        <v>322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327</v>
      </c>
      <c r="C79" s="4">
        <v>39207</v>
      </c>
      <c r="D79" s="4">
        <v>30966</v>
      </c>
      <c r="E79" s="4">
        <f t="shared" si="17"/>
        <v>70173</v>
      </c>
      <c r="G79" t="s">
        <v>327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328</v>
      </c>
      <c r="C80" s="4">
        <v>33400</v>
      </c>
      <c r="D80" s="4">
        <v>25395</v>
      </c>
      <c r="E80" s="4">
        <f t="shared" si="17"/>
        <v>58795</v>
      </c>
      <c r="G80" t="s">
        <v>328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329</v>
      </c>
      <c r="C81" s="4">
        <v>22683</v>
      </c>
      <c r="D81" s="4">
        <v>18984</v>
      </c>
      <c r="E81" s="4">
        <f t="shared" si="17"/>
        <v>41667</v>
      </c>
      <c r="G81" t="s">
        <v>329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330</v>
      </c>
      <c r="C82" s="4">
        <v>13422</v>
      </c>
      <c r="D82" s="4">
        <v>12388</v>
      </c>
      <c r="E82" s="4">
        <f t="shared" si="17"/>
        <v>25810</v>
      </c>
      <c r="G82" t="s">
        <v>330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331</v>
      </c>
      <c r="C83" s="4">
        <v>14731</v>
      </c>
      <c r="D83" s="4">
        <v>12850</v>
      </c>
      <c r="E83" s="4">
        <f t="shared" si="17"/>
        <v>27581</v>
      </c>
      <c r="G83" t="s">
        <v>331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324</v>
      </c>
      <c r="C84" s="4">
        <v>11843</v>
      </c>
      <c r="D84" s="4">
        <v>11257</v>
      </c>
      <c r="E84" s="4">
        <f t="shared" si="17"/>
        <v>23100</v>
      </c>
      <c r="G84" t="s">
        <v>324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361</v>
      </c>
      <c r="Q88" t="s">
        <v>391</v>
      </c>
    </row>
    <row r="89" spans="1:19" x14ac:dyDescent="0.25">
      <c r="B89" t="s">
        <v>313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249</v>
      </c>
      <c r="C90" t="s">
        <v>225</v>
      </c>
      <c r="D90" t="s">
        <v>220</v>
      </c>
      <c r="E90" t="s">
        <v>144</v>
      </c>
      <c r="G90" t="s">
        <v>249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325</v>
      </c>
      <c r="C91">
        <v>472132</v>
      </c>
      <c r="D91">
        <v>475717</v>
      </c>
      <c r="E91" s="4">
        <f>SUM(C91:D91)</f>
        <v>947849</v>
      </c>
      <c r="G91" t="s">
        <v>325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326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326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323</v>
      </c>
      <c r="C93">
        <v>365861</v>
      </c>
      <c r="D93">
        <v>370855</v>
      </c>
      <c r="E93" s="4">
        <f t="shared" si="25"/>
        <v>736716</v>
      </c>
      <c r="G93" s="15" t="s">
        <v>323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314</v>
      </c>
      <c r="C94">
        <v>313668</v>
      </c>
      <c r="D94">
        <v>316129</v>
      </c>
      <c r="E94" s="4">
        <f t="shared" si="25"/>
        <v>629797</v>
      </c>
      <c r="G94" t="s">
        <v>314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315</v>
      </c>
      <c r="C95">
        <v>294691</v>
      </c>
      <c r="D95">
        <v>227933</v>
      </c>
      <c r="E95" s="4">
        <f t="shared" si="25"/>
        <v>522624</v>
      </c>
      <c r="G95" t="s">
        <v>315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316</v>
      </c>
      <c r="C96">
        <v>215455</v>
      </c>
      <c r="D96">
        <v>183083</v>
      </c>
      <c r="E96" s="4">
        <f t="shared" si="25"/>
        <v>398538</v>
      </c>
      <c r="G96" t="s">
        <v>316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317</v>
      </c>
      <c r="C97">
        <v>153975</v>
      </c>
      <c r="D97">
        <v>142868</v>
      </c>
      <c r="E97" s="4">
        <f t="shared" si="25"/>
        <v>296843</v>
      </c>
      <c r="G97" t="s">
        <v>317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318</v>
      </c>
      <c r="C98">
        <v>123409</v>
      </c>
      <c r="D98">
        <v>106733</v>
      </c>
      <c r="E98" s="4">
        <f t="shared" si="25"/>
        <v>230142</v>
      </c>
      <c r="G98" t="s">
        <v>318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319</v>
      </c>
      <c r="C99">
        <v>95638</v>
      </c>
      <c r="D99">
        <v>77883</v>
      </c>
      <c r="E99" s="4">
        <f t="shared" si="25"/>
        <v>173521</v>
      </c>
      <c r="G99" t="s">
        <v>319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320</v>
      </c>
      <c r="C100">
        <v>91784</v>
      </c>
      <c r="D100">
        <v>75090</v>
      </c>
      <c r="E100" s="4">
        <f t="shared" si="25"/>
        <v>166874</v>
      </c>
      <c r="G100" t="s">
        <v>320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321</v>
      </c>
      <c r="C101">
        <v>74474</v>
      </c>
      <c r="D101">
        <v>60986</v>
      </c>
      <c r="E101" s="4">
        <f t="shared" si="25"/>
        <v>135460</v>
      </c>
      <c r="G101" t="s">
        <v>321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322</v>
      </c>
      <c r="C102">
        <v>55205</v>
      </c>
      <c r="D102">
        <v>48144</v>
      </c>
      <c r="E102" s="4">
        <f t="shared" si="25"/>
        <v>103349</v>
      </c>
      <c r="G102" t="s">
        <v>322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327</v>
      </c>
      <c r="C103">
        <v>46773</v>
      </c>
      <c r="D103">
        <v>40141</v>
      </c>
      <c r="E103" s="4">
        <f t="shared" si="25"/>
        <v>86914</v>
      </c>
      <c r="G103" t="s">
        <v>327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328</v>
      </c>
      <c r="C104">
        <v>32792</v>
      </c>
      <c r="D104">
        <v>25151</v>
      </c>
      <c r="E104" s="4">
        <f t="shared" si="25"/>
        <v>57943</v>
      </c>
      <c r="G104" t="s">
        <v>328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329</v>
      </c>
      <c r="C105">
        <v>29504</v>
      </c>
      <c r="D105">
        <v>23013</v>
      </c>
      <c r="E105" s="4">
        <f t="shared" si="25"/>
        <v>52517</v>
      </c>
      <c r="G105" t="s">
        <v>329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330</v>
      </c>
      <c r="C106">
        <v>21238</v>
      </c>
      <c r="D106">
        <v>15594</v>
      </c>
      <c r="E106" s="4">
        <f t="shared" si="25"/>
        <v>36832</v>
      </c>
      <c r="G106" t="s">
        <v>330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331</v>
      </c>
      <c r="C107" s="4">
        <v>29637</v>
      </c>
      <c r="D107" s="4">
        <v>19734</v>
      </c>
      <c r="E107" s="4">
        <f t="shared" si="25"/>
        <v>49371</v>
      </c>
      <c r="G107" t="s">
        <v>331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324</v>
      </c>
      <c r="C108" s="4">
        <v>1163</v>
      </c>
      <c r="D108" s="4">
        <v>1318</v>
      </c>
      <c r="E108" s="4">
        <f t="shared" si="25"/>
        <v>2481</v>
      </c>
      <c r="G108" t="s">
        <v>324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  <row r="113" spans="1:7" x14ac:dyDescent="0.25">
      <c r="A113" t="s">
        <v>700</v>
      </c>
      <c r="B113" t="s">
        <v>153</v>
      </c>
      <c r="C113" t="s">
        <v>144</v>
      </c>
      <c r="D113" t="s">
        <v>704</v>
      </c>
      <c r="E113" t="s">
        <v>701</v>
      </c>
      <c r="F113" t="s">
        <v>702</v>
      </c>
      <c r="G113" t="s">
        <v>703</v>
      </c>
    </row>
    <row r="114" spans="1:7" s="37" customFormat="1" x14ac:dyDescent="0.25">
      <c r="B114" s="37">
        <v>1979</v>
      </c>
      <c r="C114" s="16">
        <f>J22</f>
        <v>15297576</v>
      </c>
      <c r="D114" s="16">
        <f>SUM(H4:H6)</f>
        <v>3720044</v>
      </c>
      <c r="E114" s="16">
        <f>SUM(I4:I6)</f>
        <v>3689973</v>
      </c>
      <c r="F114" s="16">
        <f>SUM(H7:H20)</f>
        <v>3871417</v>
      </c>
      <c r="G114" s="16">
        <f>SUM(I4:I20)</f>
        <v>7706115</v>
      </c>
    </row>
    <row r="115" spans="1:7" x14ac:dyDescent="0.25">
      <c r="B115">
        <v>1989</v>
      </c>
      <c r="C115" s="16">
        <f>J48</f>
        <v>21443636</v>
      </c>
      <c r="D115" s="16">
        <f>SUM(I30:I32)</f>
        <v>5158906</v>
      </c>
      <c r="E115" s="16">
        <f>SUM(H30:H32)</f>
        <v>5099767</v>
      </c>
      <c r="F115" s="16">
        <f>SUM(I33:I46)</f>
        <v>5454722</v>
      </c>
      <c r="G115" s="16">
        <f>SUM(H33:H46)</f>
        <v>5704992</v>
      </c>
    </row>
    <row r="116" spans="1:7" x14ac:dyDescent="0.25">
      <c r="B116">
        <v>1999</v>
      </c>
      <c r="C116" s="16">
        <f>J85</f>
        <v>28686000</v>
      </c>
      <c r="D116" s="16">
        <f>SUM(I67:I69)</f>
        <v>6327496</v>
      </c>
      <c r="E116" s="16">
        <f>SUM(H67:H69)</f>
        <v>6209177</v>
      </c>
      <c r="F116" s="16">
        <f>SUM(I70:I83)</f>
        <v>7773999</v>
      </c>
      <c r="G116" s="16">
        <f>SUM(H70:H83)</f>
        <v>8184885</v>
      </c>
    </row>
    <row r="117" spans="1:7" x14ac:dyDescent="0.25">
      <c r="B117">
        <v>2009</v>
      </c>
      <c r="C117" s="16">
        <f>J109</f>
        <v>38610097</v>
      </c>
      <c r="D117" s="16">
        <f>SUM(I91:I93)</f>
        <v>8398421</v>
      </c>
      <c r="E117" s="16">
        <f>SUM(H91:H93)</f>
        <v>8173456</v>
      </c>
      <c r="F117" s="16">
        <f>SUM(I94:I107)</f>
        <v>10782559</v>
      </c>
      <c r="G117" s="16">
        <f>SUM(H94:H107)</f>
        <v>11234575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A7" workbookViewId="0">
      <selection activeCell="C47" sqref="C47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393</v>
      </c>
    </row>
    <row r="2" spans="1:26" ht="15" customHeight="1" x14ac:dyDescent="0.25">
      <c r="B2" t="s">
        <v>394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395</v>
      </c>
      <c r="D11">
        <v>5.7</v>
      </c>
      <c r="J11" s="21" t="s">
        <v>395</v>
      </c>
      <c r="K11" t="s">
        <v>536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537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540</v>
      </c>
    </row>
    <row r="16" spans="1:26" s="21" customFormat="1" x14ac:dyDescent="0.25">
      <c r="B16" s="21" t="s">
        <v>28</v>
      </c>
      <c r="C16" s="21" t="s">
        <v>396</v>
      </c>
    </row>
    <row r="17" spans="1:26" s="21" customFormat="1" x14ac:dyDescent="0.25">
      <c r="B17" s="14" t="s">
        <v>249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395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541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542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>
        <v>0.18</v>
      </c>
      <c r="D29" s="19">
        <v>0.11</v>
      </c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405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396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249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137</v>
      </c>
      <c r="C34" s="19">
        <v>0.05</v>
      </c>
      <c r="D34" s="19">
        <v>0.02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397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139</v>
      </c>
      <c r="C36" s="19">
        <v>0.25</v>
      </c>
      <c r="D36" s="19">
        <v>0.21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140</v>
      </c>
      <c r="C37" s="19">
        <v>0.21</v>
      </c>
      <c r="D37" s="19">
        <v>0.24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141</v>
      </c>
      <c r="C38" s="19">
        <v>0.28000000000000003</v>
      </c>
      <c r="D38" s="19">
        <v>0.2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142</v>
      </c>
      <c r="C39" s="19">
        <v>0.17</v>
      </c>
      <c r="D39" s="19">
        <v>0.31</v>
      </c>
      <c r="T39" s="21"/>
      <c r="U39" s="21"/>
      <c r="V39" s="21"/>
      <c r="W39" s="21"/>
      <c r="X39" s="21"/>
      <c r="Y39" s="21"/>
      <c r="Z39" s="21"/>
    </row>
    <row r="40" spans="1:26" s="21" customFormat="1" x14ac:dyDescent="0.25">
      <c r="B40" s="21" t="s">
        <v>143</v>
      </c>
      <c r="C40" s="19">
        <v>0.23</v>
      </c>
      <c r="D40" s="19">
        <v>0.16</v>
      </c>
    </row>
    <row r="41" spans="1:26" s="21" customFormat="1" x14ac:dyDescent="0.25">
      <c r="B41" s="21" t="s">
        <v>395</v>
      </c>
      <c r="C41" s="19">
        <v>0.12</v>
      </c>
      <c r="D41" s="19">
        <v>0.21</v>
      </c>
    </row>
    <row r="42" spans="1:26" s="21" customFormat="1" x14ac:dyDescent="0.25">
      <c r="B42" s="21" t="s">
        <v>541</v>
      </c>
      <c r="C42" s="19">
        <v>0.06</v>
      </c>
      <c r="D42" s="19">
        <v>0.12</v>
      </c>
    </row>
    <row r="43" spans="1:26" s="21" customFormat="1" x14ac:dyDescent="0.25">
      <c r="B43" s="21" t="s">
        <v>542</v>
      </c>
      <c r="C43" s="19">
        <v>0.04</v>
      </c>
      <c r="D43" s="19">
        <v>0.12</v>
      </c>
    </row>
    <row r="44" spans="1:26" x14ac:dyDescent="0.25">
      <c r="B44" t="s">
        <v>398</v>
      </c>
      <c r="C44" s="19">
        <v>1E-3</v>
      </c>
      <c r="D44" s="19">
        <v>5.11E-2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399</v>
      </c>
      <c r="C45" s="19">
        <v>0</v>
      </c>
      <c r="D45" s="19">
        <v>1.6500000000000001E-2</v>
      </c>
      <c r="T45" s="21"/>
      <c r="U45" s="21"/>
      <c r="V45" s="21"/>
      <c r="W45" s="21"/>
      <c r="X45" s="21"/>
      <c r="Y45" s="21"/>
      <c r="Z45" s="21"/>
    </row>
    <row r="46" spans="1:26" x14ac:dyDescent="0.25">
      <c r="B46" t="s">
        <v>400</v>
      </c>
      <c r="C46" s="19">
        <v>0</v>
      </c>
      <c r="D46" s="19">
        <v>0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144</v>
      </c>
      <c r="C47" s="13">
        <v>0.16</v>
      </c>
      <c r="D47" s="13">
        <v>0.14000000000000001</v>
      </c>
      <c r="E47" s="13">
        <v>0.15</v>
      </c>
      <c r="T47" s="21"/>
      <c r="U47" s="21"/>
      <c r="V47" s="21"/>
      <c r="W47" s="21"/>
      <c r="X47" s="21"/>
      <c r="Y47" s="21"/>
      <c r="Z47" s="21"/>
    </row>
    <row r="48" spans="1:26" x14ac:dyDescent="0.25">
      <c r="A48" s="2" t="s">
        <v>474</v>
      </c>
      <c r="T48" s="21"/>
      <c r="U48" s="21"/>
      <c r="V48" s="21"/>
      <c r="W48" s="21"/>
      <c r="X48" s="21"/>
      <c r="Y48" s="21"/>
      <c r="Z48" s="21"/>
    </row>
    <row r="49" spans="1:26" x14ac:dyDescent="0.25">
      <c r="B49" t="s">
        <v>487</v>
      </c>
      <c r="T49" s="21"/>
      <c r="U49" s="21"/>
      <c r="V49" s="21"/>
      <c r="W49" s="21"/>
      <c r="X49" s="21"/>
      <c r="Y49" s="21"/>
      <c r="Z49" s="21"/>
    </row>
    <row r="50" spans="1:26" x14ac:dyDescent="0.25">
      <c r="C50" t="s">
        <v>492</v>
      </c>
      <c r="T50" s="21"/>
      <c r="U50" s="21"/>
      <c r="V50" s="21"/>
      <c r="W50" s="21"/>
      <c r="X50" s="21"/>
      <c r="Y50" s="21"/>
      <c r="Z50" s="21"/>
    </row>
    <row r="51" spans="1:26" x14ac:dyDescent="0.25">
      <c r="B51" t="s">
        <v>488</v>
      </c>
      <c r="C51" t="s">
        <v>493</v>
      </c>
      <c r="D51" t="s">
        <v>494</v>
      </c>
      <c r="E51" t="s">
        <v>489</v>
      </c>
      <c r="F51" t="s">
        <v>490</v>
      </c>
      <c r="G51" t="s">
        <v>491</v>
      </c>
      <c r="H51" s="21"/>
      <c r="I51" s="21"/>
      <c r="J51" s="4"/>
      <c r="K51" s="12"/>
      <c r="L51" s="4"/>
      <c r="T51" s="21"/>
      <c r="U51" s="21"/>
      <c r="V51" s="21"/>
      <c r="W51" s="21"/>
      <c r="X51" s="21"/>
      <c r="Y51" s="21"/>
      <c r="Z51" s="21"/>
    </row>
    <row r="52" spans="1:26" x14ac:dyDescent="0.25">
      <c r="B52" t="s">
        <v>477</v>
      </c>
      <c r="E52">
        <v>24.8</v>
      </c>
      <c r="F52" s="12">
        <v>1.6799999999999999E-2</v>
      </c>
      <c r="G52" s="25">
        <v>1.8218907691418283E-2</v>
      </c>
      <c r="H52" s="4"/>
    </row>
    <row r="53" spans="1:26" x14ac:dyDescent="0.25">
      <c r="B53" t="s">
        <v>485</v>
      </c>
      <c r="E53" s="26">
        <v>4.7</v>
      </c>
      <c r="F53" s="24">
        <v>2.7000000000000001E-3</v>
      </c>
      <c r="G53" s="25">
        <v>1.8231484607593381E-2</v>
      </c>
      <c r="H53" s="4"/>
    </row>
    <row r="54" spans="1:26" x14ac:dyDescent="0.25">
      <c r="B54" t="s">
        <v>478</v>
      </c>
      <c r="E54">
        <v>14.3</v>
      </c>
      <c r="F54">
        <v>1</v>
      </c>
      <c r="G54" s="25">
        <v>1.8219280719280719E-2</v>
      </c>
      <c r="H54" s="4"/>
      <c r="I54" s="27"/>
    </row>
    <row r="55" spans="1:26" x14ac:dyDescent="0.25">
      <c r="B55" t="s">
        <v>476</v>
      </c>
      <c r="E55">
        <v>19.899999999999999</v>
      </c>
      <c r="F55">
        <v>1.62</v>
      </c>
      <c r="G55" s="25">
        <v>1.8217202885234516E-2</v>
      </c>
      <c r="H55" s="4"/>
      <c r="I55" s="27"/>
    </row>
    <row r="56" spans="1:26" ht="15" customHeight="1" x14ac:dyDescent="0.25">
      <c r="B56" t="s">
        <v>475</v>
      </c>
      <c r="E56">
        <v>26</v>
      </c>
      <c r="F56">
        <v>2</v>
      </c>
      <c r="G56" s="25">
        <v>1.8221324034448143E-2</v>
      </c>
      <c r="H56" s="4"/>
      <c r="I56" s="28"/>
    </row>
    <row r="57" spans="1:26" ht="15" customHeight="1" x14ac:dyDescent="0.25">
      <c r="B57" t="s">
        <v>486</v>
      </c>
      <c r="E57">
        <v>6.4</v>
      </c>
      <c r="F57">
        <v>0.38</v>
      </c>
      <c r="G57" s="25">
        <v>1.8216888126875268E-2</v>
      </c>
      <c r="H57" s="4"/>
    </row>
    <row r="59" spans="1:26" x14ac:dyDescent="0.25">
      <c r="A59" s="2" t="s">
        <v>533</v>
      </c>
    </row>
    <row r="60" spans="1:26" x14ac:dyDescent="0.25">
      <c r="B60" t="s">
        <v>534</v>
      </c>
    </row>
    <row r="61" spans="1:26" x14ac:dyDescent="0.25">
      <c r="B61" s="21" t="s">
        <v>80</v>
      </c>
      <c r="C61" s="21" t="s">
        <v>225</v>
      </c>
      <c r="D61" s="21" t="s">
        <v>220</v>
      </c>
      <c r="E61" s="21" t="s">
        <v>144</v>
      </c>
    </row>
    <row r="62" spans="1:26" x14ac:dyDescent="0.25">
      <c r="B62" s="21" t="s">
        <v>137</v>
      </c>
      <c r="C62" s="21">
        <v>10.7523</v>
      </c>
      <c r="D62" s="21">
        <v>1.8250999999999999</v>
      </c>
      <c r="E62" s="21">
        <v>5.7888999999999999</v>
      </c>
    </row>
    <row r="63" spans="1:26" x14ac:dyDescent="0.25">
      <c r="B63" s="21" t="s">
        <v>138</v>
      </c>
      <c r="C63" s="21">
        <v>11.913600000000001</v>
      </c>
      <c r="D63" s="21">
        <v>5.7523</v>
      </c>
      <c r="E63" s="21">
        <v>9.6933000000000007</v>
      </c>
    </row>
    <row r="64" spans="1:26" x14ac:dyDescent="0.25">
      <c r="B64" s="21" t="s">
        <v>139</v>
      </c>
      <c r="C64" s="21">
        <v>22.196400000000001</v>
      </c>
      <c r="D64" s="21">
        <v>24.328299999999999</v>
      </c>
      <c r="E64" s="21">
        <v>22.979299999999999</v>
      </c>
    </row>
    <row r="65" spans="1:14" x14ac:dyDescent="0.25">
      <c r="B65" s="21" t="s">
        <v>140</v>
      </c>
      <c r="C65" s="21">
        <v>25.5763</v>
      </c>
      <c r="D65" s="21">
        <v>15.297700000000001</v>
      </c>
      <c r="E65" s="21">
        <v>20.091699999999999</v>
      </c>
    </row>
    <row r="66" spans="1:14" x14ac:dyDescent="0.25">
      <c r="B66" s="21" t="s">
        <v>141</v>
      </c>
      <c r="C66" s="21">
        <v>22.250399999999999</v>
      </c>
      <c r="D66" s="21">
        <v>22.5062</v>
      </c>
      <c r="E66" s="21">
        <v>22.363299999999999</v>
      </c>
    </row>
    <row r="67" spans="1:14" x14ac:dyDescent="0.25">
      <c r="B67" s="21" t="s">
        <v>142</v>
      </c>
      <c r="C67" s="21">
        <v>9.2730999999999995</v>
      </c>
      <c r="D67" s="21">
        <v>24.727399999999999</v>
      </c>
      <c r="E67" s="21">
        <v>16.4572</v>
      </c>
    </row>
    <row r="68" spans="1:14" x14ac:dyDescent="0.25">
      <c r="B68" s="21" t="s">
        <v>143</v>
      </c>
      <c r="C68" s="21">
        <v>17.155999999999999</v>
      </c>
      <c r="D68" s="21">
        <v>12.907299999999999</v>
      </c>
      <c r="E68" s="21">
        <v>15.566700000000001</v>
      </c>
    </row>
    <row r="69" spans="1:14" x14ac:dyDescent="0.25">
      <c r="B69" s="21" t="s">
        <v>395</v>
      </c>
      <c r="C69" s="21"/>
      <c r="D69" s="21">
        <v>15.9094</v>
      </c>
      <c r="E69" s="31" t="s">
        <v>535</v>
      </c>
    </row>
    <row r="70" spans="1:14" x14ac:dyDescent="0.25">
      <c r="B70" s="21" t="s">
        <v>144</v>
      </c>
      <c r="C70" s="21">
        <v>15.968400000000001</v>
      </c>
      <c r="D70" s="21">
        <v>11.6173</v>
      </c>
      <c r="E70" s="21">
        <v>13.941800000000001</v>
      </c>
    </row>
    <row r="72" spans="1:14" x14ac:dyDescent="0.25">
      <c r="A72" s="2" t="s">
        <v>594</v>
      </c>
    </row>
    <row r="73" spans="1:14" x14ac:dyDescent="0.25">
      <c r="N73" s="2"/>
    </row>
    <row r="74" spans="1:14" x14ac:dyDescent="0.25">
      <c r="B74" t="s">
        <v>595</v>
      </c>
    </row>
    <row r="75" spans="1:14" x14ac:dyDescent="0.25">
      <c r="B75" t="s">
        <v>488</v>
      </c>
      <c r="C75" t="s">
        <v>218</v>
      </c>
      <c r="D75" t="s">
        <v>226</v>
      </c>
      <c r="E75" t="s">
        <v>144</v>
      </c>
    </row>
    <row r="76" spans="1:14" x14ac:dyDescent="0.25">
      <c r="B76" s="21" t="s">
        <v>477</v>
      </c>
      <c r="C76" s="18">
        <v>0.224</v>
      </c>
      <c r="D76" s="18">
        <v>0.19400000000000001</v>
      </c>
      <c r="E76" s="18">
        <v>0.21</v>
      </c>
    </row>
    <row r="77" spans="1:14" x14ac:dyDescent="0.25">
      <c r="B77" s="21" t="s">
        <v>485</v>
      </c>
      <c r="C77" s="18">
        <v>4.7E-2</v>
      </c>
      <c r="D77" s="18">
        <v>0.04</v>
      </c>
      <c r="E77" s="18">
        <v>4.3999999999999997E-2</v>
      </c>
    </row>
    <row r="78" spans="1:14" x14ac:dyDescent="0.25">
      <c r="B78" s="21" t="s">
        <v>478</v>
      </c>
      <c r="C78" s="18">
        <v>0.14199999999999999</v>
      </c>
      <c r="D78" s="18">
        <v>0.122</v>
      </c>
      <c r="E78" s="18">
        <v>0.13300000000000001</v>
      </c>
    </row>
    <row r="79" spans="1:14" x14ac:dyDescent="0.25">
      <c r="B79" s="21" t="s">
        <v>476</v>
      </c>
      <c r="C79" s="18">
        <v>0.17399999999999999</v>
      </c>
      <c r="D79" s="18">
        <v>0.15</v>
      </c>
      <c r="E79" s="18">
        <v>0.16300000000000001</v>
      </c>
    </row>
    <row r="80" spans="1:14" x14ac:dyDescent="0.25">
      <c r="B80" s="21" t="s">
        <v>475</v>
      </c>
      <c r="C80" s="18">
        <v>0.221</v>
      </c>
      <c r="D80" s="18">
        <v>0.191</v>
      </c>
      <c r="E80" s="18">
        <v>0.20699999999999999</v>
      </c>
    </row>
    <row r="81" spans="1:9" x14ac:dyDescent="0.25">
      <c r="B81" s="21" t="s">
        <v>486</v>
      </c>
      <c r="C81" s="18">
        <v>4.4999999999999998E-2</v>
      </c>
      <c r="D81" s="18">
        <v>3.9E-2</v>
      </c>
      <c r="E81" s="18">
        <v>4.2000000000000003E-2</v>
      </c>
    </row>
    <row r="83" spans="1:9" x14ac:dyDescent="0.25">
      <c r="A83" s="2" t="s">
        <v>596</v>
      </c>
      <c r="I83" s="21"/>
    </row>
    <row r="84" spans="1:9" x14ac:dyDescent="0.25">
      <c r="B84" t="s">
        <v>597</v>
      </c>
      <c r="I84" s="21"/>
    </row>
    <row r="85" spans="1:9" x14ac:dyDescent="0.25">
      <c r="B85" t="s">
        <v>505</v>
      </c>
      <c r="C85" t="s">
        <v>107</v>
      </c>
      <c r="I85" s="21"/>
    </row>
    <row r="86" spans="1:9" x14ac:dyDescent="0.25">
      <c r="B86">
        <v>1983</v>
      </c>
      <c r="C86" s="12">
        <v>2E-3</v>
      </c>
      <c r="E86">
        <v>2E-3</v>
      </c>
      <c r="I86" s="21"/>
    </row>
    <row r="87" spans="1:9" x14ac:dyDescent="0.25">
      <c r="B87">
        <v>1987</v>
      </c>
      <c r="C87" s="12">
        <v>2.0899999999999998E-2</v>
      </c>
      <c r="E87">
        <v>2.0899999999999998E-2</v>
      </c>
      <c r="I87" s="21"/>
    </row>
    <row r="88" spans="1:9" x14ac:dyDescent="0.25">
      <c r="B88">
        <v>1990</v>
      </c>
      <c r="C88" s="12">
        <v>0.12330000000000001</v>
      </c>
      <c r="E88">
        <v>0.12330000000000001</v>
      </c>
      <c r="I88" s="21"/>
    </row>
    <row r="89" spans="1:9" x14ac:dyDescent="0.25">
      <c r="B89">
        <v>1994</v>
      </c>
      <c r="C89" s="12">
        <v>0.24310000000000001</v>
      </c>
      <c r="E89">
        <v>0.24310000000000001</v>
      </c>
      <c r="I89" s="21"/>
    </row>
    <row r="90" spans="1:9" x14ac:dyDescent="0.25">
      <c r="B90">
        <v>1999</v>
      </c>
      <c r="C90" s="12">
        <v>0.23019999999999999</v>
      </c>
      <c r="E90">
        <v>0.23019999999999999</v>
      </c>
      <c r="I90" s="21"/>
    </row>
    <row r="91" spans="1:9" x14ac:dyDescent="0.25">
      <c r="B91">
        <v>2003</v>
      </c>
      <c r="C91" s="12">
        <v>0.17100000000000001</v>
      </c>
      <c r="E91">
        <v>0.17100000000000001</v>
      </c>
      <c r="I91" s="21"/>
    </row>
    <row r="92" spans="1:9" x14ac:dyDescent="0.25">
      <c r="B92">
        <v>2007</v>
      </c>
      <c r="C92" s="12">
        <v>0.13719999999999999</v>
      </c>
      <c r="E92">
        <v>0.13719999999999999</v>
      </c>
      <c r="I92" s="21"/>
    </row>
    <row r="93" spans="1:9" x14ac:dyDescent="0.25">
      <c r="B93">
        <v>2011</v>
      </c>
      <c r="C93" s="12">
        <v>0.1419</v>
      </c>
      <c r="E93">
        <v>0.1419</v>
      </c>
    </row>
    <row r="94" spans="1:9" x14ac:dyDescent="0.25">
      <c r="B94" s="33">
        <v>2015</v>
      </c>
      <c r="C94" s="34">
        <v>0.14560000000000001</v>
      </c>
      <c r="D94" t="s">
        <v>598</v>
      </c>
      <c r="E94">
        <v>0.14560000000000001</v>
      </c>
    </row>
    <row r="95" spans="1:9" x14ac:dyDescent="0.25">
      <c r="B95" s="33">
        <v>2019</v>
      </c>
      <c r="C95" s="34">
        <v>0.12520000000000001</v>
      </c>
      <c r="E95">
        <v>0.12520000000000001</v>
      </c>
    </row>
    <row r="97" spans="1:3" x14ac:dyDescent="0.25">
      <c r="A97" s="2" t="s">
        <v>599</v>
      </c>
    </row>
    <row r="98" spans="1:3" x14ac:dyDescent="0.25">
      <c r="B98" t="s">
        <v>600</v>
      </c>
    </row>
    <row r="99" spans="1:3" x14ac:dyDescent="0.25">
      <c r="B99" t="s">
        <v>199</v>
      </c>
      <c r="C99" t="s">
        <v>601</v>
      </c>
    </row>
    <row r="100" spans="1:3" x14ac:dyDescent="0.25">
      <c r="B100">
        <v>1990</v>
      </c>
      <c r="C100" s="12">
        <v>6.8000000000000005E-2</v>
      </c>
    </row>
    <row r="101" spans="1:3" x14ac:dyDescent="0.25">
      <c r="B101" s="21">
        <v>1991</v>
      </c>
      <c r="C101" s="12">
        <v>0.109</v>
      </c>
    </row>
    <row r="102" spans="1:3" x14ac:dyDescent="0.25">
      <c r="B102" s="21">
        <v>1992</v>
      </c>
      <c r="C102" s="12">
        <v>0.128</v>
      </c>
    </row>
    <row r="103" spans="1:3" x14ac:dyDescent="0.25">
      <c r="B103" s="21">
        <v>1993</v>
      </c>
      <c r="C103" s="12">
        <v>0.127</v>
      </c>
    </row>
    <row r="104" spans="1:3" x14ac:dyDescent="0.25">
      <c r="B104" s="21">
        <v>1994</v>
      </c>
      <c r="C104" s="12">
        <v>0.20300000000000001</v>
      </c>
    </row>
    <row r="105" spans="1:3" x14ac:dyDescent="0.25">
      <c r="B105" s="21">
        <v>1995</v>
      </c>
      <c r="C105" s="12">
        <v>0.22900000000000001</v>
      </c>
    </row>
    <row r="106" spans="1:3" x14ac:dyDescent="0.25">
      <c r="B106" s="21">
        <v>1996</v>
      </c>
      <c r="C106" s="12">
        <v>0.113</v>
      </c>
    </row>
    <row r="107" spans="1:3" x14ac:dyDescent="0.25">
      <c r="B107" s="21">
        <v>1997</v>
      </c>
      <c r="C107" s="12">
        <v>0.17199999999999999</v>
      </c>
    </row>
    <row r="108" spans="1:3" x14ac:dyDescent="0.25">
      <c r="B108" s="21">
        <v>1998</v>
      </c>
      <c r="C108" s="12">
        <v>0.20300000000000001</v>
      </c>
    </row>
    <row r="109" spans="1:3" x14ac:dyDescent="0.25">
      <c r="B109" s="21">
        <v>1999</v>
      </c>
      <c r="C109" s="12">
        <v>0.16500000000000001</v>
      </c>
    </row>
    <row r="110" spans="1:3" x14ac:dyDescent="0.25">
      <c r="B110" s="21">
        <v>2000</v>
      </c>
      <c r="C110" s="12">
        <v>0.18</v>
      </c>
    </row>
    <row r="111" spans="1:3" x14ac:dyDescent="0.25">
      <c r="B111" s="21">
        <v>2001</v>
      </c>
      <c r="C111" s="12">
        <v>0.13100000000000001</v>
      </c>
    </row>
    <row r="112" spans="1:3" x14ac:dyDescent="0.25">
      <c r="B112" s="21">
        <v>2002</v>
      </c>
      <c r="C112" s="12">
        <v>0.10800000000000001</v>
      </c>
    </row>
    <row r="113" spans="1:7" x14ac:dyDescent="0.25">
      <c r="B113" s="21">
        <v>2003</v>
      </c>
      <c r="C113" s="12">
        <v>9.0999999999999998E-2</v>
      </c>
    </row>
    <row r="114" spans="1:7" x14ac:dyDescent="0.25">
      <c r="B114" s="21">
        <v>2004</v>
      </c>
      <c r="C114" s="12">
        <v>6.2E-2</v>
      </c>
    </row>
    <row r="115" spans="1:7" x14ac:dyDescent="0.25">
      <c r="B115" s="21">
        <v>2005</v>
      </c>
      <c r="C115" s="12">
        <v>6.8000000000000005E-2</v>
      </c>
    </row>
    <row r="116" spans="1:7" x14ac:dyDescent="0.25">
      <c r="B116" s="21">
        <v>2006</v>
      </c>
      <c r="C116" s="12">
        <v>6.3E-2</v>
      </c>
    </row>
    <row r="118" spans="1:7" x14ac:dyDescent="0.25">
      <c r="A118" s="2" t="s">
        <v>1007</v>
      </c>
    </row>
    <row r="120" spans="1:7" x14ac:dyDescent="0.25">
      <c r="B120" t="s">
        <v>999</v>
      </c>
    </row>
    <row r="121" spans="1:7" x14ac:dyDescent="0.25">
      <c r="B121" t="s">
        <v>199</v>
      </c>
      <c r="C121" t="s">
        <v>995</v>
      </c>
      <c r="D121" t="s">
        <v>485</v>
      </c>
      <c r="E121" t="s">
        <v>996</v>
      </c>
      <c r="F121" t="s">
        <v>997</v>
      </c>
      <c r="G121" t="s">
        <v>998</v>
      </c>
    </row>
    <row r="122" spans="1:7" x14ac:dyDescent="0.25">
      <c r="B122">
        <v>1990</v>
      </c>
      <c r="C122">
        <v>18</v>
      </c>
      <c r="D122">
        <v>1</v>
      </c>
    </row>
    <row r="123" spans="1:7" x14ac:dyDescent="0.25">
      <c r="B123">
        <v>1991</v>
      </c>
      <c r="C123">
        <v>18</v>
      </c>
      <c r="D123">
        <v>3</v>
      </c>
    </row>
    <row r="124" spans="1:7" x14ac:dyDescent="0.25">
      <c r="B124" s="37">
        <v>1992</v>
      </c>
      <c r="C124">
        <v>19</v>
      </c>
      <c r="D124">
        <v>0</v>
      </c>
    </row>
    <row r="125" spans="1:7" x14ac:dyDescent="0.25">
      <c r="B125" s="37">
        <v>1993</v>
      </c>
      <c r="C125">
        <v>19</v>
      </c>
      <c r="D125">
        <v>2</v>
      </c>
    </row>
    <row r="126" spans="1:7" x14ac:dyDescent="0.25">
      <c r="B126" s="37">
        <v>1994</v>
      </c>
      <c r="C126">
        <v>29</v>
      </c>
      <c r="D126">
        <v>8</v>
      </c>
    </row>
    <row r="127" spans="1:7" x14ac:dyDescent="0.25">
      <c r="B127" s="37">
        <v>1995</v>
      </c>
      <c r="C127">
        <v>24</v>
      </c>
      <c r="D127">
        <v>3</v>
      </c>
      <c r="E127">
        <v>20</v>
      </c>
    </row>
    <row r="128" spans="1:7" x14ac:dyDescent="0.25">
      <c r="B128" s="37">
        <v>1996</v>
      </c>
      <c r="C128">
        <v>26</v>
      </c>
      <c r="D128">
        <v>15</v>
      </c>
      <c r="E128">
        <v>26</v>
      </c>
    </row>
    <row r="129" spans="1:7" x14ac:dyDescent="0.25">
      <c r="B129" s="37">
        <v>1997</v>
      </c>
      <c r="C129">
        <v>32</v>
      </c>
      <c r="D129">
        <v>15</v>
      </c>
    </row>
    <row r="130" spans="1:7" x14ac:dyDescent="0.25">
      <c r="B130" s="37">
        <v>1998</v>
      </c>
      <c r="C130">
        <v>27</v>
      </c>
      <c r="D130">
        <v>13</v>
      </c>
      <c r="E130">
        <v>35</v>
      </c>
    </row>
    <row r="131" spans="1:7" x14ac:dyDescent="0.25">
      <c r="B131" s="37">
        <v>1999</v>
      </c>
      <c r="C131">
        <v>25</v>
      </c>
      <c r="D131">
        <v>11</v>
      </c>
      <c r="E131">
        <v>24</v>
      </c>
    </row>
    <row r="132" spans="1:7" x14ac:dyDescent="0.25">
      <c r="B132" s="37">
        <v>2000</v>
      </c>
      <c r="C132">
        <v>33</v>
      </c>
      <c r="D132">
        <v>14</v>
      </c>
      <c r="E132">
        <v>29</v>
      </c>
    </row>
    <row r="133" spans="1:7" x14ac:dyDescent="0.25">
      <c r="B133" s="37">
        <v>2001</v>
      </c>
      <c r="C133">
        <v>29</v>
      </c>
      <c r="D133">
        <v>17</v>
      </c>
      <c r="E133">
        <v>25</v>
      </c>
      <c r="F133">
        <v>31</v>
      </c>
      <c r="G133">
        <v>11</v>
      </c>
    </row>
    <row r="134" spans="1:7" x14ac:dyDescent="0.25">
      <c r="B134" s="37">
        <v>2002</v>
      </c>
      <c r="C134">
        <v>26</v>
      </c>
      <c r="D134">
        <v>14</v>
      </c>
      <c r="E134">
        <v>22</v>
      </c>
      <c r="F134">
        <v>34</v>
      </c>
      <c r="G134">
        <v>4</v>
      </c>
    </row>
    <row r="135" spans="1:7" x14ac:dyDescent="0.25">
      <c r="B135" s="37">
        <v>2003</v>
      </c>
      <c r="C135">
        <v>26</v>
      </c>
      <c r="D135">
        <v>9</v>
      </c>
      <c r="E135">
        <v>22</v>
      </c>
      <c r="F135">
        <v>41</v>
      </c>
      <c r="G135">
        <v>9</v>
      </c>
    </row>
    <row r="136" spans="1:7" x14ac:dyDescent="0.25">
      <c r="B136" s="37">
        <v>2004</v>
      </c>
      <c r="C136">
        <v>11.2</v>
      </c>
      <c r="D136">
        <v>6.4</v>
      </c>
      <c r="E136">
        <v>13.8</v>
      </c>
      <c r="F136">
        <v>30</v>
      </c>
      <c r="G136">
        <v>3.2</v>
      </c>
    </row>
    <row r="137" spans="1:7" x14ac:dyDescent="0.25">
      <c r="B137" s="37">
        <v>2005</v>
      </c>
      <c r="C137">
        <v>15.1</v>
      </c>
      <c r="D137">
        <v>7</v>
      </c>
      <c r="E137">
        <v>8.3000000000000007</v>
      </c>
      <c r="F137">
        <v>32.9</v>
      </c>
      <c r="G137">
        <v>3.2</v>
      </c>
    </row>
    <row r="138" spans="1:7" x14ac:dyDescent="0.25">
      <c r="B138" s="37">
        <v>2006</v>
      </c>
      <c r="C138">
        <v>18.5</v>
      </c>
      <c r="D138">
        <v>2.2999999999999998</v>
      </c>
      <c r="E138">
        <v>8.1999999999999993</v>
      </c>
      <c r="F138">
        <v>26.3</v>
      </c>
      <c r="G138">
        <v>1.1000000000000001</v>
      </c>
    </row>
    <row r="139" spans="1:7" x14ac:dyDescent="0.25">
      <c r="B139" s="37">
        <v>2008</v>
      </c>
      <c r="C139">
        <v>16.899999999999999</v>
      </c>
      <c r="D139">
        <v>6.8</v>
      </c>
      <c r="E139">
        <v>21</v>
      </c>
      <c r="F139">
        <v>19.899999999999999</v>
      </c>
      <c r="G139">
        <v>3.4</v>
      </c>
    </row>
    <row r="140" spans="1:7" x14ac:dyDescent="0.25">
      <c r="B140" s="37">
        <v>2010</v>
      </c>
      <c r="C140">
        <v>18.5</v>
      </c>
      <c r="D140">
        <v>8.6999999999999993</v>
      </c>
      <c r="E140">
        <v>22.1</v>
      </c>
      <c r="F140">
        <v>23.5</v>
      </c>
      <c r="G140">
        <v>3.2</v>
      </c>
    </row>
    <row r="141" spans="1:7" x14ac:dyDescent="0.25">
      <c r="B141" s="37">
        <v>2011</v>
      </c>
      <c r="C141">
        <v>15.5</v>
      </c>
      <c r="D141">
        <v>7</v>
      </c>
      <c r="E141">
        <v>25.9</v>
      </c>
      <c r="F141">
        <v>30.3</v>
      </c>
      <c r="G141">
        <v>19.7</v>
      </c>
    </row>
    <row r="142" spans="1:7" x14ac:dyDescent="0.25">
      <c r="B142" s="37"/>
    </row>
    <row r="143" spans="1:7" x14ac:dyDescent="0.25">
      <c r="A143" s="2" t="s">
        <v>1008</v>
      </c>
      <c r="B143" s="37"/>
    </row>
    <row r="144" spans="1:7" x14ac:dyDescent="0.25">
      <c r="B144" t="s">
        <v>1009</v>
      </c>
    </row>
    <row r="145" spans="1:10" x14ac:dyDescent="0.25">
      <c r="B145" t="s">
        <v>80</v>
      </c>
      <c r="C145" t="s">
        <v>226</v>
      </c>
      <c r="D145" t="s">
        <v>218</v>
      </c>
      <c r="E145" t="s">
        <v>144</v>
      </c>
    </row>
    <row r="146" spans="1:10" x14ac:dyDescent="0.25">
      <c r="B146" s="37" t="s">
        <v>137</v>
      </c>
      <c r="C146">
        <v>2</v>
      </c>
      <c r="D146">
        <v>4</v>
      </c>
      <c r="E146">
        <v>3.2</v>
      </c>
    </row>
    <row r="147" spans="1:10" x14ac:dyDescent="0.25">
      <c r="B147" s="37" t="s">
        <v>138</v>
      </c>
      <c r="C147">
        <v>1.2</v>
      </c>
      <c r="D147">
        <v>15.6</v>
      </c>
      <c r="E147">
        <v>7.9</v>
      </c>
    </row>
    <row r="148" spans="1:10" x14ac:dyDescent="0.25">
      <c r="B148" s="37" t="s">
        <v>139</v>
      </c>
      <c r="C148">
        <v>8.4</v>
      </c>
      <c r="D148">
        <v>20.7</v>
      </c>
      <c r="E148">
        <v>14.7</v>
      </c>
    </row>
    <row r="149" spans="1:10" x14ac:dyDescent="0.25">
      <c r="B149" s="37" t="s">
        <v>140</v>
      </c>
      <c r="C149">
        <v>13.9</v>
      </c>
      <c r="D149">
        <v>14.7</v>
      </c>
      <c r="E149">
        <v>14.3</v>
      </c>
    </row>
    <row r="150" spans="1:10" x14ac:dyDescent="0.25">
      <c r="B150" s="37" t="s">
        <v>141</v>
      </c>
      <c r="C150">
        <v>13.8</v>
      </c>
      <c r="D150">
        <v>15.7</v>
      </c>
      <c r="E150">
        <v>14.7</v>
      </c>
    </row>
    <row r="151" spans="1:10" x14ac:dyDescent="0.25">
      <c r="B151" s="37" t="s">
        <v>142</v>
      </c>
      <c r="C151">
        <v>7.5</v>
      </c>
      <c r="D151">
        <v>6.9</v>
      </c>
      <c r="E151">
        <v>7.3</v>
      </c>
    </row>
    <row r="152" spans="1:10" x14ac:dyDescent="0.25">
      <c r="B152" s="37" t="s">
        <v>143</v>
      </c>
      <c r="C152">
        <v>11.4</v>
      </c>
      <c r="D152">
        <v>13.6</v>
      </c>
      <c r="E152">
        <v>12.3</v>
      </c>
    </row>
    <row r="153" spans="1:10" x14ac:dyDescent="0.25">
      <c r="B153" t="s">
        <v>651</v>
      </c>
      <c r="C153">
        <v>8</v>
      </c>
      <c r="D153">
        <v>13.7</v>
      </c>
      <c r="E153">
        <v>10.8</v>
      </c>
    </row>
    <row r="155" spans="1:10" x14ac:dyDescent="0.25">
      <c r="A155" s="2" t="s">
        <v>1010</v>
      </c>
    </row>
    <row r="156" spans="1:10" x14ac:dyDescent="0.25">
      <c r="B156" t="s">
        <v>1021</v>
      </c>
    </row>
    <row r="157" spans="1:10" x14ac:dyDescent="0.25">
      <c r="B157" t="s">
        <v>1011</v>
      </c>
    </row>
    <row r="158" spans="1:10" x14ac:dyDescent="0.25">
      <c r="C158" t="s">
        <v>1012</v>
      </c>
      <c r="D158" t="s">
        <v>581</v>
      </c>
      <c r="E158" t="s">
        <v>582</v>
      </c>
      <c r="F158" t="s">
        <v>1013</v>
      </c>
      <c r="G158" t="s">
        <v>581</v>
      </c>
      <c r="H158" t="s">
        <v>1014</v>
      </c>
    </row>
    <row r="159" spans="1:10" x14ac:dyDescent="0.25">
      <c r="B159" t="s">
        <v>1015</v>
      </c>
      <c r="C159">
        <v>30.6</v>
      </c>
      <c r="D159">
        <v>28.3</v>
      </c>
      <c r="E159">
        <v>33</v>
      </c>
      <c r="F159">
        <v>30.1</v>
      </c>
      <c r="G159">
        <v>27.1</v>
      </c>
      <c r="H159">
        <v>33.299999999999997</v>
      </c>
      <c r="J159" s="2"/>
    </row>
    <row r="160" spans="1:10" x14ac:dyDescent="0.25">
      <c r="B160" t="s">
        <v>1016</v>
      </c>
      <c r="F160">
        <v>19.8</v>
      </c>
      <c r="G160">
        <v>16.7</v>
      </c>
      <c r="H160">
        <v>23.1</v>
      </c>
    </row>
    <row r="161" spans="2:8" x14ac:dyDescent="0.25">
      <c r="B161" t="s">
        <v>1017</v>
      </c>
      <c r="F161">
        <v>25.9</v>
      </c>
      <c r="G161">
        <v>23.7</v>
      </c>
      <c r="H161">
        <v>28.2</v>
      </c>
    </row>
    <row r="163" spans="2:8" x14ac:dyDescent="0.25">
      <c r="B163" t="s">
        <v>1020</v>
      </c>
    </row>
    <row r="164" spans="2:8" x14ac:dyDescent="0.25">
      <c r="B164" t="s">
        <v>1018</v>
      </c>
      <c r="C164">
        <v>29.2</v>
      </c>
      <c r="D164">
        <v>26.2</v>
      </c>
      <c r="E164">
        <v>32.200000000000003</v>
      </c>
      <c r="F164">
        <v>31.1</v>
      </c>
      <c r="G164">
        <v>27.9</v>
      </c>
      <c r="H164">
        <v>34.299999999999997</v>
      </c>
    </row>
    <row r="165" spans="2:8" x14ac:dyDescent="0.25">
      <c r="B165" t="s">
        <v>1019</v>
      </c>
      <c r="F165">
        <v>19</v>
      </c>
      <c r="G165">
        <v>15.9</v>
      </c>
      <c r="H165">
        <v>22.2</v>
      </c>
    </row>
    <row r="166" spans="2:8" x14ac:dyDescent="0.25">
      <c r="B166" t="s">
        <v>1017</v>
      </c>
      <c r="F166">
        <v>25.1</v>
      </c>
      <c r="G166">
        <v>22.9</v>
      </c>
      <c r="H166">
        <v>27.3</v>
      </c>
    </row>
    <row r="168" spans="2:8" x14ac:dyDescent="0.25">
      <c r="B168" t="s">
        <v>1022</v>
      </c>
    </row>
    <row r="169" spans="2:8" x14ac:dyDescent="0.25">
      <c r="C169" t="s">
        <v>1012</v>
      </c>
      <c r="D169" t="s">
        <v>581</v>
      </c>
      <c r="E169" t="s">
        <v>582</v>
      </c>
      <c r="F169" t="s">
        <v>223</v>
      </c>
      <c r="G169" t="s">
        <v>581</v>
      </c>
      <c r="H169" t="s">
        <v>582</v>
      </c>
    </row>
    <row r="170" spans="2:8" x14ac:dyDescent="0.25">
      <c r="B170" t="s">
        <v>137</v>
      </c>
      <c r="C170">
        <v>5.8</v>
      </c>
      <c r="D170">
        <v>0.28000000000000003</v>
      </c>
      <c r="E170">
        <v>11.3</v>
      </c>
      <c r="F170">
        <v>3.5</v>
      </c>
      <c r="G170">
        <v>1.1000000000000001</v>
      </c>
      <c r="H170">
        <v>7.9</v>
      </c>
    </row>
    <row r="171" spans="2:8" x14ac:dyDescent="0.25">
      <c r="B171" t="s">
        <v>1023</v>
      </c>
      <c r="C171">
        <v>29.1</v>
      </c>
      <c r="D171">
        <v>25.6</v>
      </c>
      <c r="E171">
        <v>32.6</v>
      </c>
      <c r="F171">
        <v>18.3</v>
      </c>
      <c r="G171">
        <v>13.6</v>
      </c>
      <c r="H171">
        <v>23.7</v>
      </c>
    </row>
    <row r="172" spans="2:8" x14ac:dyDescent="0.25">
      <c r="B172" t="s">
        <v>156</v>
      </c>
      <c r="C172">
        <v>34.5</v>
      </c>
      <c r="D172">
        <v>30.2</v>
      </c>
      <c r="E172">
        <v>38.799999999999997</v>
      </c>
      <c r="F172">
        <v>33.1</v>
      </c>
      <c r="G172">
        <v>25.8</v>
      </c>
      <c r="H172">
        <v>41.1</v>
      </c>
    </row>
    <row r="173" spans="2:8" x14ac:dyDescent="0.25">
      <c r="B173" t="s">
        <v>157</v>
      </c>
      <c r="C173">
        <v>36.5</v>
      </c>
      <c r="D173">
        <v>27.9</v>
      </c>
      <c r="E173">
        <v>45</v>
      </c>
      <c r="F173">
        <v>27.7</v>
      </c>
      <c r="G173">
        <v>18.399999999999999</v>
      </c>
      <c r="H173">
        <v>38.6</v>
      </c>
    </row>
    <row r="174" spans="2:8" x14ac:dyDescent="0.25">
      <c r="B174" t="s">
        <v>1024</v>
      </c>
      <c r="C174">
        <v>23.2</v>
      </c>
      <c r="D174">
        <v>20</v>
      </c>
      <c r="E174">
        <v>26.8</v>
      </c>
      <c r="F174">
        <v>19.8</v>
      </c>
      <c r="G174">
        <v>16.7</v>
      </c>
      <c r="H174">
        <v>23.1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37" workbookViewId="0">
      <selection activeCell="F64" sqref="F64"/>
    </sheetView>
  </sheetViews>
  <sheetFormatPr defaultRowHeight="15" x14ac:dyDescent="0.25"/>
  <sheetData>
    <row r="1" spans="1:18" x14ac:dyDescent="0.25">
      <c r="A1" s="2" t="s">
        <v>972</v>
      </c>
    </row>
    <row r="2" spans="1:18" x14ac:dyDescent="0.25">
      <c r="B2" t="s">
        <v>973</v>
      </c>
    </row>
    <row r="3" spans="1:18" x14ac:dyDescent="0.25">
      <c r="B3" s="37"/>
      <c r="C3" s="37" t="s">
        <v>788</v>
      </c>
      <c r="D3" s="37"/>
      <c r="E3" s="37"/>
      <c r="F3" s="37"/>
      <c r="G3" s="37"/>
      <c r="H3" s="37"/>
      <c r="I3" s="37"/>
      <c r="J3" s="37" t="s">
        <v>789</v>
      </c>
      <c r="K3" s="37"/>
      <c r="L3" s="37"/>
      <c r="M3" s="37"/>
      <c r="N3" s="37"/>
      <c r="O3" s="37"/>
      <c r="P3" s="37"/>
    </row>
    <row r="4" spans="1:18" x14ac:dyDescent="0.25">
      <c r="B4" s="37"/>
      <c r="C4" s="37" t="s">
        <v>790</v>
      </c>
      <c r="D4" s="37"/>
      <c r="E4" s="37"/>
      <c r="F4" s="37"/>
      <c r="G4" s="37"/>
      <c r="H4" s="37"/>
      <c r="I4" s="37"/>
      <c r="J4" s="37" t="s">
        <v>791</v>
      </c>
      <c r="K4" s="37"/>
      <c r="L4" s="37"/>
      <c r="M4" s="37"/>
      <c r="N4" s="37"/>
      <c r="O4" s="37"/>
      <c r="P4" s="37"/>
    </row>
    <row r="5" spans="1:18" x14ac:dyDescent="0.25">
      <c r="B5" s="37"/>
      <c r="C5" s="37" t="s">
        <v>792</v>
      </c>
      <c r="D5" s="37" t="s">
        <v>793</v>
      </c>
      <c r="E5" s="37" t="s">
        <v>794</v>
      </c>
      <c r="F5" s="37" t="s">
        <v>795</v>
      </c>
      <c r="G5" s="37" t="s">
        <v>796</v>
      </c>
      <c r="H5" s="37" t="s">
        <v>797</v>
      </c>
      <c r="I5" s="37" t="s">
        <v>679</v>
      </c>
      <c r="J5" s="37" t="s">
        <v>792</v>
      </c>
      <c r="K5" s="37" t="s">
        <v>793</v>
      </c>
      <c r="L5" s="37" t="s">
        <v>794</v>
      </c>
      <c r="M5" s="37" t="s">
        <v>795</v>
      </c>
      <c r="N5" s="37" t="s">
        <v>796</v>
      </c>
      <c r="O5" s="37" t="s">
        <v>797</v>
      </c>
      <c r="P5" s="37" t="s">
        <v>679</v>
      </c>
      <c r="R5" t="s">
        <v>228</v>
      </c>
    </row>
    <row r="6" spans="1:18" x14ac:dyDescent="0.25">
      <c r="B6" s="37" t="s">
        <v>798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8" x14ac:dyDescent="0.25">
      <c r="B7" s="37" t="s">
        <v>799</v>
      </c>
      <c r="C7" s="37">
        <v>33.36</v>
      </c>
      <c r="D7" s="37">
        <v>17.63</v>
      </c>
      <c r="E7" s="37">
        <v>10.51</v>
      </c>
      <c r="F7" s="37">
        <v>6.66</v>
      </c>
      <c r="G7" s="37">
        <v>4.4800000000000004</v>
      </c>
      <c r="H7" s="37">
        <v>6.1</v>
      </c>
      <c r="I7" s="37">
        <v>6.06</v>
      </c>
      <c r="J7" s="37">
        <v>24.04</v>
      </c>
      <c r="K7" s="37">
        <v>12.7</v>
      </c>
      <c r="L7" s="37">
        <v>7.57</v>
      </c>
      <c r="M7" s="37">
        <v>4.8</v>
      </c>
      <c r="N7" s="37">
        <v>3.23</v>
      </c>
      <c r="O7" s="37">
        <v>4.3899999999999997</v>
      </c>
      <c r="P7" s="37">
        <v>4.37</v>
      </c>
    </row>
    <row r="8" spans="1:18" x14ac:dyDescent="0.25">
      <c r="B8" s="37"/>
      <c r="C8" s="37" t="s">
        <v>800</v>
      </c>
      <c r="D8" s="37" t="s">
        <v>801</v>
      </c>
      <c r="E8" s="37" t="s">
        <v>802</v>
      </c>
      <c r="F8" s="37" t="s">
        <v>803</v>
      </c>
      <c r="G8" s="37" t="s">
        <v>804</v>
      </c>
      <c r="H8" s="37" t="s">
        <v>805</v>
      </c>
      <c r="I8" s="37" t="s">
        <v>806</v>
      </c>
      <c r="J8" s="37" t="s">
        <v>807</v>
      </c>
      <c r="K8" s="37" t="s">
        <v>808</v>
      </c>
      <c r="L8" s="37" t="s">
        <v>809</v>
      </c>
      <c r="M8" s="37" t="s">
        <v>810</v>
      </c>
      <c r="N8" s="37" t="s">
        <v>811</v>
      </c>
      <c r="O8" s="37" t="s">
        <v>812</v>
      </c>
      <c r="P8" s="37" t="s">
        <v>813</v>
      </c>
      <c r="R8">
        <f xml:space="preserve"> (9.94/1.96)-33.6</f>
        <v>-28.528571428571432</v>
      </c>
    </row>
    <row r="9" spans="1:18" x14ac:dyDescent="0.25">
      <c r="B9" s="37" t="s">
        <v>814</v>
      </c>
      <c r="C9" s="37">
        <v>35.56</v>
      </c>
      <c r="D9" s="37">
        <v>18.79</v>
      </c>
      <c r="E9" s="37">
        <v>11.2</v>
      </c>
      <c r="F9" s="37">
        <v>7.1</v>
      </c>
      <c r="G9" s="37">
        <v>4.78</v>
      </c>
      <c r="H9" s="37">
        <v>6.5</v>
      </c>
      <c r="I9" s="37">
        <v>6.46</v>
      </c>
      <c r="J9" s="37">
        <v>25.62</v>
      </c>
      <c r="K9" s="37">
        <v>13.54</v>
      </c>
      <c r="L9" s="37">
        <v>8.07</v>
      </c>
      <c r="M9" s="37">
        <v>5.12</v>
      </c>
      <c r="N9" s="37">
        <v>3.44</v>
      </c>
      <c r="O9" s="37">
        <v>4.68</v>
      </c>
      <c r="P9" s="37">
        <v>4.66</v>
      </c>
    </row>
    <row r="10" spans="1:18" x14ac:dyDescent="0.25">
      <c r="B10" s="37"/>
      <c r="C10" s="37" t="s">
        <v>815</v>
      </c>
      <c r="D10" s="37" t="s">
        <v>816</v>
      </c>
      <c r="E10" s="37" t="s">
        <v>817</v>
      </c>
      <c r="F10" s="37" t="s">
        <v>818</v>
      </c>
      <c r="G10" s="37" t="s">
        <v>819</v>
      </c>
      <c r="H10" s="37" t="s">
        <v>820</v>
      </c>
      <c r="I10" s="37" t="s">
        <v>821</v>
      </c>
      <c r="J10" s="37" t="s">
        <v>822</v>
      </c>
      <c r="K10" s="37" t="s">
        <v>823</v>
      </c>
      <c r="L10" s="37" t="s">
        <v>824</v>
      </c>
      <c r="M10" s="37" t="s">
        <v>825</v>
      </c>
      <c r="N10" s="37" t="s">
        <v>826</v>
      </c>
      <c r="O10" s="37" t="s">
        <v>827</v>
      </c>
      <c r="P10" s="37" t="s">
        <v>828</v>
      </c>
    </row>
    <row r="11" spans="1:18" x14ac:dyDescent="0.25">
      <c r="B11" s="37" t="s">
        <v>829</v>
      </c>
      <c r="C11" s="37">
        <v>39.86</v>
      </c>
      <c r="D11" s="37">
        <v>21.06</v>
      </c>
      <c r="E11" s="37">
        <v>12.55</v>
      </c>
      <c r="F11" s="37">
        <v>7.96</v>
      </c>
      <c r="G11" s="37">
        <v>5.35</v>
      </c>
      <c r="H11" s="37">
        <v>7.28</v>
      </c>
      <c r="I11" s="37">
        <v>7.24</v>
      </c>
      <c r="J11" s="37">
        <v>28.72</v>
      </c>
      <c r="K11" s="37">
        <v>15.17</v>
      </c>
      <c r="L11" s="37">
        <v>9.0399999999999991</v>
      </c>
      <c r="M11" s="37">
        <v>5.74</v>
      </c>
      <c r="N11" s="37">
        <v>3.86</v>
      </c>
      <c r="O11" s="37">
        <v>5.25</v>
      </c>
      <c r="P11" s="37">
        <v>5.22</v>
      </c>
    </row>
    <row r="12" spans="1:18" x14ac:dyDescent="0.25">
      <c r="B12" s="37"/>
      <c r="C12" s="37" t="s">
        <v>830</v>
      </c>
      <c r="D12" s="37" t="s">
        <v>831</v>
      </c>
      <c r="E12" s="37" t="s">
        <v>832</v>
      </c>
      <c r="F12" s="37" t="s">
        <v>833</v>
      </c>
      <c r="G12" s="37" t="s">
        <v>834</v>
      </c>
      <c r="H12" s="37" t="s">
        <v>835</v>
      </c>
      <c r="I12" s="37" t="s">
        <v>836</v>
      </c>
      <c r="J12" s="37" t="s">
        <v>837</v>
      </c>
      <c r="K12" s="37" t="s">
        <v>838</v>
      </c>
      <c r="L12" s="37" t="s">
        <v>839</v>
      </c>
      <c r="M12" s="37" t="s">
        <v>840</v>
      </c>
      <c r="N12" s="37" t="s">
        <v>841</v>
      </c>
      <c r="O12" s="37" t="s">
        <v>842</v>
      </c>
      <c r="P12" s="37" t="s">
        <v>843</v>
      </c>
    </row>
    <row r="13" spans="1:18" x14ac:dyDescent="0.25">
      <c r="B13" s="37" t="s">
        <v>844</v>
      </c>
      <c r="C13" s="37">
        <v>53.56</v>
      </c>
      <c r="D13" s="37">
        <v>28.3</v>
      </c>
      <c r="E13" s="37">
        <v>16.87</v>
      </c>
      <c r="F13" s="37">
        <v>10.7</v>
      </c>
      <c r="G13" s="37">
        <v>7.19</v>
      </c>
      <c r="H13" s="37">
        <v>9.7899999999999991</v>
      </c>
      <c r="I13" s="37">
        <v>9.73</v>
      </c>
      <c r="J13" s="37">
        <v>38.590000000000003</v>
      </c>
      <c r="K13" s="37">
        <v>20.39</v>
      </c>
      <c r="L13" s="37">
        <v>12.15</v>
      </c>
      <c r="M13" s="37">
        <v>7.71</v>
      </c>
      <c r="N13" s="37">
        <v>5.18</v>
      </c>
      <c r="O13" s="37">
        <v>7.05</v>
      </c>
      <c r="P13" s="37">
        <v>7.01</v>
      </c>
    </row>
    <row r="14" spans="1:18" x14ac:dyDescent="0.25">
      <c r="B14" s="37"/>
      <c r="C14" s="37" t="s">
        <v>845</v>
      </c>
      <c r="D14" s="37" t="s">
        <v>846</v>
      </c>
      <c r="E14" s="37" t="s">
        <v>847</v>
      </c>
      <c r="F14" s="37" t="s">
        <v>848</v>
      </c>
      <c r="G14" s="37" t="s">
        <v>849</v>
      </c>
      <c r="H14" s="37" t="s">
        <v>850</v>
      </c>
      <c r="I14" s="37" t="s">
        <v>851</v>
      </c>
      <c r="J14" s="37" t="s">
        <v>852</v>
      </c>
      <c r="K14" s="37" t="s">
        <v>853</v>
      </c>
      <c r="L14" s="37" t="s">
        <v>854</v>
      </c>
      <c r="M14" s="37" t="s">
        <v>855</v>
      </c>
      <c r="N14" s="37" t="s">
        <v>856</v>
      </c>
      <c r="O14" s="37" t="s">
        <v>857</v>
      </c>
      <c r="P14" s="37" t="s">
        <v>858</v>
      </c>
    </row>
    <row r="15" spans="1:18" x14ac:dyDescent="0.25">
      <c r="B15" s="37" t="s">
        <v>859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8" x14ac:dyDescent="0.25">
      <c r="B16" s="37" t="s">
        <v>799</v>
      </c>
      <c r="C16" s="37">
        <v>10.86</v>
      </c>
      <c r="D16" s="37">
        <v>7.11</v>
      </c>
      <c r="E16" s="37">
        <v>4.4800000000000004</v>
      </c>
      <c r="F16" s="37">
        <v>3.51</v>
      </c>
      <c r="G16" s="37">
        <v>3.57</v>
      </c>
      <c r="H16" s="37">
        <v>5.64</v>
      </c>
      <c r="I16" s="37">
        <v>2.52</v>
      </c>
      <c r="J16" s="37">
        <v>7.8</v>
      </c>
      <c r="K16" s="37">
        <v>5.1100000000000003</v>
      </c>
      <c r="L16" s="37">
        <v>3.22</v>
      </c>
      <c r="M16" s="37">
        <v>2.52</v>
      </c>
      <c r="N16" s="37">
        <v>2.56</v>
      </c>
      <c r="O16" s="37">
        <v>4.05</v>
      </c>
      <c r="P16" s="37">
        <v>1.81</v>
      </c>
    </row>
    <row r="17" spans="2:16" x14ac:dyDescent="0.25">
      <c r="B17" s="37"/>
      <c r="C17" s="37" t="s">
        <v>860</v>
      </c>
      <c r="D17" s="37" t="s">
        <v>861</v>
      </c>
      <c r="E17" s="37" t="s">
        <v>862</v>
      </c>
      <c r="F17" s="37" t="s">
        <v>863</v>
      </c>
      <c r="G17" s="37" t="s">
        <v>864</v>
      </c>
      <c r="H17" s="37" t="s">
        <v>865</v>
      </c>
      <c r="I17" s="37" t="s">
        <v>866</v>
      </c>
      <c r="J17" s="37" t="s">
        <v>867</v>
      </c>
      <c r="K17" s="37" t="s">
        <v>868</v>
      </c>
      <c r="L17" s="37" t="s">
        <v>869</v>
      </c>
      <c r="M17" s="37" t="s">
        <v>870</v>
      </c>
      <c r="N17" s="37" t="s">
        <v>871</v>
      </c>
      <c r="O17" s="37" t="s">
        <v>872</v>
      </c>
      <c r="P17" s="37" t="s">
        <v>873</v>
      </c>
    </row>
    <row r="18" spans="2:16" x14ac:dyDescent="0.25">
      <c r="B18" s="37" t="s">
        <v>814</v>
      </c>
      <c r="C18" s="37">
        <v>7.88</v>
      </c>
      <c r="D18" s="37">
        <v>5.15</v>
      </c>
      <c r="E18" s="37">
        <v>3.25</v>
      </c>
      <c r="F18" s="37">
        <v>2.5499999999999998</v>
      </c>
      <c r="G18" s="37">
        <v>2.59</v>
      </c>
      <c r="H18" s="37">
        <v>4.09</v>
      </c>
      <c r="I18" s="37">
        <v>1.83</v>
      </c>
      <c r="J18" s="37">
        <v>5.66</v>
      </c>
      <c r="K18" s="37">
        <v>3.7</v>
      </c>
      <c r="L18" s="37">
        <v>2.33</v>
      </c>
      <c r="M18" s="37">
        <v>1.83</v>
      </c>
      <c r="N18" s="37">
        <v>1.86</v>
      </c>
      <c r="O18" s="37">
        <v>2.94</v>
      </c>
      <c r="P18" s="37">
        <v>1.31</v>
      </c>
    </row>
    <row r="19" spans="2:16" x14ac:dyDescent="0.25">
      <c r="B19" s="37"/>
      <c r="C19" s="37" t="s">
        <v>874</v>
      </c>
      <c r="D19" s="37" t="s">
        <v>875</v>
      </c>
      <c r="E19" s="37" t="s">
        <v>876</v>
      </c>
      <c r="F19" s="37" t="s">
        <v>877</v>
      </c>
      <c r="G19" s="37" t="s">
        <v>878</v>
      </c>
      <c r="H19" s="37" t="s">
        <v>879</v>
      </c>
      <c r="I19" s="37" t="s">
        <v>880</v>
      </c>
      <c r="J19" s="37" t="s">
        <v>881</v>
      </c>
      <c r="K19" s="37" t="s">
        <v>882</v>
      </c>
      <c r="L19" s="37" t="s">
        <v>883</v>
      </c>
      <c r="M19" s="37" t="s">
        <v>884</v>
      </c>
      <c r="N19" s="37" t="s">
        <v>885</v>
      </c>
      <c r="O19" s="37" t="s">
        <v>886</v>
      </c>
      <c r="P19" s="37" t="s">
        <v>887</v>
      </c>
    </row>
    <row r="20" spans="2:16" x14ac:dyDescent="0.25">
      <c r="B20" s="37" t="s">
        <v>829</v>
      </c>
      <c r="C20" s="37">
        <v>7.57</v>
      </c>
      <c r="D20" s="37">
        <v>4.96</v>
      </c>
      <c r="E20" s="37">
        <v>3.12</v>
      </c>
      <c r="F20" s="37">
        <v>2.4500000000000002</v>
      </c>
      <c r="G20" s="37">
        <v>2.4900000000000002</v>
      </c>
      <c r="H20" s="37">
        <v>3.93</v>
      </c>
      <c r="I20" s="37">
        <v>1.76</v>
      </c>
      <c r="J20" s="37">
        <v>5.44</v>
      </c>
      <c r="K20" s="37">
        <v>3.56</v>
      </c>
      <c r="L20" s="37">
        <v>2.2400000000000002</v>
      </c>
      <c r="M20" s="37">
        <v>1.76</v>
      </c>
      <c r="N20" s="37">
        <v>1.79</v>
      </c>
      <c r="O20" s="37">
        <v>2.82</v>
      </c>
      <c r="P20" s="37">
        <v>1.26</v>
      </c>
    </row>
    <row r="21" spans="2:16" x14ac:dyDescent="0.25">
      <c r="B21" s="37"/>
      <c r="C21" s="37" t="s">
        <v>888</v>
      </c>
      <c r="D21" s="37" t="s">
        <v>889</v>
      </c>
      <c r="E21" s="37" t="s">
        <v>890</v>
      </c>
      <c r="F21" s="37" t="s">
        <v>891</v>
      </c>
      <c r="G21" s="37" t="s">
        <v>892</v>
      </c>
      <c r="H21" s="37" t="s">
        <v>893</v>
      </c>
      <c r="I21" s="37" t="s">
        <v>894</v>
      </c>
      <c r="J21" s="37" t="s">
        <v>895</v>
      </c>
      <c r="K21" s="37" t="s">
        <v>896</v>
      </c>
      <c r="L21" s="37" t="s">
        <v>897</v>
      </c>
      <c r="M21" s="37" t="s">
        <v>898</v>
      </c>
      <c r="N21" s="37" t="s">
        <v>899</v>
      </c>
      <c r="O21" s="37" t="s">
        <v>900</v>
      </c>
      <c r="P21" s="37" t="s">
        <v>901</v>
      </c>
    </row>
    <row r="22" spans="2:16" x14ac:dyDescent="0.25">
      <c r="B22" s="37" t="s">
        <v>844</v>
      </c>
      <c r="C22" s="37">
        <v>8.9600000000000009</v>
      </c>
      <c r="D22" s="37">
        <v>5.86</v>
      </c>
      <c r="E22" s="37">
        <v>3.69</v>
      </c>
      <c r="F22" s="37">
        <v>2.9</v>
      </c>
      <c r="G22" s="37">
        <v>2.94</v>
      </c>
      <c r="H22" s="37">
        <v>4.6500000000000004</v>
      </c>
      <c r="I22" s="37">
        <v>2.08</v>
      </c>
      <c r="J22" s="37">
        <v>6.43</v>
      </c>
      <c r="K22" s="37">
        <v>4.21</v>
      </c>
      <c r="L22" s="37">
        <v>2.65</v>
      </c>
      <c r="M22" s="37">
        <v>2.08</v>
      </c>
      <c r="N22" s="37">
        <v>2.11</v>
      </c>
      <c r="O22" s="37">
        <v>3.34</v>
      </c>
      <c r="P22" s="37">
        <v>1.49</v>
      </c>
    </row>
    <row r="23" spans="2:16" x14ac:dyDescent="0.25">
      <c r="B23" s="37"/>
      <c r="C23" s="37" t="s">
        <v>902</v>
      </c>
      <c r="D23" s="37" t="s">
        <v>903</v>
      </c>
      <c r="E23" s="37" t="s">
        <v>904</v>
      </c>
      <c r="F23" s="37" t="s">
        <v>905</v>
      </c>
      <c r="G23" s="37" t="s">
        <v>906</v>
      </c>
      <c r="H23" s="37" t="s">
        <v>907</v>
      </c>
      <c r="I23" s="37" t="s">
        <v>908</v>
      </c>
      <c r="J23" s="37" t="s">
        <v>909</v>
      </c>
      <c r="K23" s="37" t="s">
        <v>910</v>
      </c>
      <c r="L23" s="37" t="s">
        <v>911</v>
      </c>
      <c r="M23" s="37" t="s">
        <v>912</v>
      </c>
      <c r="N23" s="37" t="s">
        <v>913</v>
      </c>
      <c r="O23" s="37" t="s">
        <v>914</v>
      </c>
      <c r="P23" s="37" t="s">
        <v>915</v>
      </c>
    </row>
    <row r="24" spans="2:16" x14ac:dyDescent="0.25">
      <c r="B24" s="37" t="s">
        <v>916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2:16" x14ac:dyDescent="0.25">
      <c r="B25" s="37" t="s">
        <v>799</v>
      </c>
      <c r="C25" s="37">
        <v>5.83</v>
      </c>
      <c r="D25" s="37">
        <v>3.82</v>
      </c>
      <c r="E25" s="37" t="s">
        <v>919</v>
      </c>
      <c r="F25" s="37">
        <v>1.89</v>
      </c>
      <c r="G25" s="37">
        <v>1.91</v>
      </c>
      <c r="H25" s="37">
        <v>3.03</v>
      </c>
      <c r="I25" s="37">
        <v>1.35</v>
      </c>
      <c r="J25" s="37">
        <v>4.1900000000000004</v>
      </c>
      <c r="K25" s="37">
        <v>2.74</v>
      </c>
      <c r="L25" s="37">
        <v>1.73</v>
      </c>
      <c r="M25" s="37">
        <v>1.35</v>
      </c>
      <c r="N25" s="37">
        <v>1.38</v>
      </c>
      <c r="O25" s="37">
        <v>2.17</v>
      </c>
      <c r="P25" s="37">
        <v>0.97</v>
      </c>
    </row>
    <row r="26" spans="2:16" x14ac:dyDescent="0.25">
      <c r="B26" s="37"/>
      <c r="C26" s="37" t="s">
        <v>917</v>
      </c>
      <c r="D26" s="37" t="s">
        <v>918</v>
      </c>
      <c r="E26" s="37"/>
      <c r="F26" s="37" t="s">
        <v>920</v>
      </c>
      <c r="G26" s="37" t="s">
        <v>921</v>
      </c>
      <c r="H26" s="37" t="s">
        <v>922</v>
      </c>
      <c r="I26" s="37" t="s">
        <v>923</v>
      </c>
      <c r="J26" s="37" t="s">
        <v>924</v>
      </c>
      <c r="K26" s="37" t="s">
        <v>925</v>
      </c>
      <c r="L26" s="37" t="s">
        <v>926</v>
      </c>
      <c r="M26" s="37" t="s">
        <v>927</v>
      </c>
      <c r="N26" s="37" t="s">
        <v>928</v>
      </c>
      <c r="O26" s="37" t="s">
        <v>929</v>
      </c>
      <c r="P26" s="37" t="s">
        <v>930</v>
      </c>
    </row>
    <row r="27" spans="2:16" x14ac:dyDescent="0.25">
      <c r="B27" s="37" t="s">
        <v>814</v>
      </c>
      <c r="C27" s="37">
        <v>4.2300000000000004</v>
      </c>
      <c r="D27" s="37">
        <v>2.77</v>
      </c>
      <c r="E27" s="37">
        <v>1.74</v>
      </c>
      <c r="F27" s="37">
        <v>1.37</v>
      </c>
      <c r="G27" s="37">
        <v>1.39</v>
      </c>
      <c r="H27" s="37">
        <v>2.2000000000000002</v>
      </c>
      <c r="I27" s="37">
        <v>0.98</v>
      </c>
      <c r="J27" s="37">
        <v>3.04</v>
      </c>
      <c r="K27" s="37">
        <v>1.99</v>
      </c>
      <c r="L27" s="37">
        <v>1.25</v>
      </c>
      <c r="M27" s="37">
        <v>0.98</v>
      </c>
      <c r="N27" s="37">
        <v>1</v>
      </c>
      <c r="O27" s="37">
        <v>1.58</v>
      </c>
      <c r="P27" s="37">
        <v>0.7</v>
      </c>
    </row>
    <row r="28" spans="2:16" x14ac:dyDescent="0.25">
      <c r="B28" s="37"/>
      <c r="C28" s="37" t="s">
        <v>931</v>
      </c>
      <c r="D28" s="37" t="s">
        <v>932</v>
      </c>
      <c r="E28" s="37" t="s">
        <v>933</v>
      </c>
      <c r="F28" s="37" t="s">
        <v>934</v>
      </c>
      <c r="G28" s="37" t="s">
        <v>935</v>
      </c>
      <c r="H28" s="37" t="s">
        <v>936</v>
      </c>
      <c r="I28" s="37" t="s">
        <v>937</v>
      </c>
      <c r="J28" s="37" t="s">
        <v>938</v>
      </c>
      <c r="K28" s="37" t="s">
        <v>939</v>
      </c>
      <c r="L28" s="37" t="s">
        <v>940</v>
      </c>
      <c r="M28" s="37" t="s">
        <v>941</v>
      </c>
      <c r="N28" s="37" t="s">
        <v>942</v>
      </c>
      <c r="O28" s="37" t="s">
        <v>943</v>
      </c>
      <c r="P28" s="37" t="s">
        <v>944</v>
      </c>
    </row>
    <row r="29" spans="2:16" x14ac:dyDescent="0.25">
      <c r="B29" s="37" t="s">
        <v>829</v>
      </c>
      <c r="C29" s="37">
        <v>4.07</v>
      </c>
      <c r="D29" s="37">
        <v>2.66</v>
      </c>
      <c r="E29" s="37">
        <v>1.68</v>
      </c>
      <c r="F29" s="37">
        <v>1.31</v>
      </c>
      <c r="G29" s="37">
        <v>1.33</v>
      </c>
      <c r="H29" s="37">
        <v>2.11</v>
      </c>
      <c r="I29" s="37">
        <v>0.94</v>
      </c>
      <c r="J29" s="37">
        <v>2.92</v>
      </c>
      <c r="K29" s="37">
        <v>1.91</v>
      </c>
      <c r="L29" s="37">
        <v>1.2</v>
      </c>
      <c r="M29" s="37">
        <v>0.94</v>
      </c>
      <c r="N29" s="37">
        <v>0.96</v>
      </c>
      <c r="O29" s="37">
        <v>1.52</v>
      </c>
      <c r="P29" s="37">
        <v>0.68</v>
      </c>
    </row>
    <row r="30" spans="2:16" x14ac:dyDescent="0.25">
      <c r="B30" s="37"/>
      <c r="C30" s="37" t="s">
        <v>945</v>
      </c>
      <c r="D30" s="37" t="s">
        <v>946</v>
      </c>
      <c r="E30" s="37" t="s">
        <v>947</v>
      </c>
      <c r="F30" s="37" t="s">
        <v>948</v>
      </c>
      <c r="G30" s="37" t="s">
        <v>949</v>
      </c>
      <c r="H30" s="37" t="s">
        <v>950</v>
      </c>
      <c r="I30" s="37" t="s">
        <v>951</v>
      </c>
      <c r="J30" s="37" t="s">
        <v>952</v>
      </c>
      <c r="K30" s="37" t="s">
        <v>953</v>
      </c>
      <c r="L30" s="37" t="s">
        <v>954</v>
      </c>
      <c r="M30" s="37" t="s">
        <v>955</v>
      </c>
      <c r="N30" s="37" t="s">
        <v>956</v>
      </c>
      <c r="O30" s="37" t="s">
        <v>957</v>
      </c>
      <c r="P30" s="37" t="s">
        <v>958</v>
      </c>
    </row>
    <row r="31" spans="2:16" x14ac:dyDescent="0.25">
      <c r="B31" s="37" t="s">
        <v>844</v>
      </c>
      <c r="C31" s="37">
        <v>4.8099999999999996</v>
      </c>
      <c r="D31" s="37">
        <v>3.15</v>
      </c>
      <c r="E31" s="37">
        <v>1.98</v>
      </c>
      <c r="F31" s="37">
        <v>1.55</v>
      </c>
      <c r="G31" s="37">
        <v>1.58</v>
      </c>
      <c r="H31" s="37">
        <v>2.5</v>
      </c>
      <c r="I31" s="37">
        <v>1.1100000000000001</v>
      </c>
      <c r="J31" s="37">
        <v>3.45</v>
      </c>
      <c r="K31" s="37">
        <v>2.2599999999999998</v>
      </c>
      <c r="L31" s="37">
        <v>1.42</v>
      </c>
      <c r="M31" s="37">
        <v>1.1200000000000001</v>
      </c>
      <c r="N31" s="37">
        <v>1.1299999999999999</v>
      </c>
      <c r="O31" s="37">
        <v>1.79</v>
      </c>
      <c r="P31" s="37">
        <v>0.8</v>
      </c>
    </row>
    <row r="32" spans="2:16" x14ac:dyDescent="0.25">
      <c r="B32" s="37"/>
      <c r="C32" s="37" t="s">
        <v>959</v>
      </c>
      <c r="D32" s="37" t="s">
        <v>960</v>
      </c>
      <c r="E32" s="37" t="s">
        <v>939</v>
      </c>
      <c r="F32" s="37" t="s">
        <v>961</v>
      </c>
      <c r="G32" s="37" t="s">
        <v>962</v>
      </c>
      <c r="H32" s="37" t="s">
        <v>963</v>
      </c>
      <c r="I32" s="37" t="s">
        <v>964</v>
      </c>
      <c r="J32" s="37" t="s">
        <v>965</v>
      </c>
      <c r="K32" s="37" t="s">
        <v>966</v>
      </c>
      <c r="L32" s="37" t="s">
        <v>967</v>
      </c>
      <c r="M32" s="37" t="s">
        <v>968</v>
      </c>
      <c r="N32" s="37" t="s">
        <v>969</v>
      </c>
      <c r="O32" s="37" t="s">
        <v>970</v>
      </c>
      <c r="P32" s="37" t="s">
        <v>971</v>
      </c>
    </row>
    <row r="34" spans="1:6" x14ac:dyDescent="0.25">
      <c r="B34" t="s">
        <v>974</v>
      </c>
    </row>
    <row r="35" spans="1:6" x14ac:dyDescent="0.25">
      <c r="C35" t="s">
        <v>460</v>
      </c>
      <c r="D35" t="s">
        <v>459</v>
      </c>
      <c r="E35" t="s">
        <v>797</v>
      </c>
      <c r="F35" t="s">
        <v>679</v>
      </c>
    </row>
    <row r="36" spans="1:6" x14ac:dyDescent="0.25">
      <c r="B36" t="s">
        <v>155</v>
      </c>
      <c r="C36">
        <f>(E7+L7)/2/100</f>
        <v>9.0399999999999994E-2</v>
      </c>
      <c r="D36">
        <f>AVERAGE(F7,M7)/100</f>
        <v>5.7300000000000004E-2</v>
      </c>
      <c r="E36">
        <f>AVERAGE(H7,O7)/100</f>
        <v>5.244999999999999E-2</v>
      </c>
      <c r="F36">
        <f>AVERAGE(I7,P7)/100</f>
        <v>5.2150000000000002E-2</v>
      </c>
    </row>
    <row r="37" spans="1:6" x14ac:dyDescent="0.25">
      <c r="B37" t="s">
        <v>556</v>
      </c>
      <c r="C37">
        <f>AVERAGE(E9,L9)/100</f>
        <v>9.6349999999999991E-2</v>
      </c>
      <c r="D37">
        <f>AVERAGE(F9,M9)/100</f>
        <v>6.1099999999999995E-2</v>
      </c>
      <c r="E37">
        <f>AVERAGE(H9,O9)/100</f>
        <v>5.5899999999999998E-2</v>
      </c>
      <c r="F37">
        <f>AVERAGE(I9,P9)/100</f>
        <v>5.5600000000000004E-2</v>
      </c>
    </row>
    <row r="38" spans="1:6" x14ac:dyDescent="0.25">
      <c r="B38" t="s">
        <v>583</v>
      </c>
      <c r="C38">
        <f>AVERAGE(E11,L11)/100</f>
        <v>0.10795</v>
      </c>
      <c r="D38">
        <f>AVERAGE(F11,M11)/100</f>
        <v>6.8499999999999991E-2</v>
      </c>
      <c r="E38">
        <f>AVERAGE(H11,O11)/100</f>
        <v>6.2650000000000011E-2</v>
      </c>
      <c r="F38">
        <f>AVERAGE(I11,P11)/100</f>
        <v>6.2300000000000001E-2</v>
      </c>
    </row>
    <row r="39" spans="1:6" x14ac:dyDescent="0.25">
      <c r="B39" t="s">
        <v>975</v>
      </c>
      <c r="C39">
        <f>AVERAGE(E13,L13)/100</f>
        <v>0.14510000000000001</v>
      </c>
      <c r="D39">
        <f>AVERAGE(F13,M13)/100</f>
        <v>9.2050000000000007E-2</v>
      </c>
      <c r="E39">
        <f>AVERAGE(H13,O13)/100</f>
        <v>8.4199999999999997E-2</v>
      </c>
      <c r="F39">
        <f>AVERAGE(I13,P13)/100</f>
        <v>8.3700000000000011E-2</v>
      </c>
    </row>
    <row r="41" spans="1:6" x14ac:dyDescent="0.25">
      <c r="A41" s="2" t="s">
        <v>978</v>
      </c>
    </row>
    <row r="42" spans="1:6" x14ac:dyDescent="0.25">
      <c r="B42" t="s">
        <v>977</v>
      </c>
    </row>
    <row r="43" spans="1:6" x14ac:dyDescent="0.25">
      <c r="B43" t="s">
        <v>976</v>
      </c>
    </row>
    <row r="45" spans="1:6" x14ac:dyDescent="0.25">
      <c r="A45" s="2" t="s">
        <v>979</v>
      </c>
    </row>
    <row r="46" spans="1:6" x14ac:dyDescent="0.25">
      <c r="B46" t="s">
        <v>980</v>
      </c>
    </row>
    <row r="47" spans="1:6" x14ac:dyDescent="0.25">
      <c r="C47" t="s">
        <v>984</v>
      </c>
      <c r="D47" t="s">
        <v>985</v>
      </c>
      <c r="E47" t="s">
        <v>986</v>
      </c>
    </row>
    <row r="48" spans="1:6" x14ac:dyDescent="0.25">
      <c r="B48" t="s">
        <v>542</v>
      </c>
      <c r="C48">
        <f>18.8/1000</f>
        <v>1.8800000000000001E-2</v>
      </c>
      <c r="D48">
        <v>0.185</v>
      </c>
      <c r="E48">
        <f>D48*C48</f>
        <v>3.4780000000000002E-3</v>
      </c>
    </row>
    <row r="49" spans="1:5" x14ac:dyDescent="0.25">
      <c r="B49" t="s">
        <v>981</v>
      </c>
      <c r="C49">
        <f>32.68/1000</f>
        <v>3.2680000000000001E-2</v>
      </c>
      <c r="D49">
        <v>0.25679999999999997</v>
      </c>
      <c r="E49">
        <f>D49*C49</f>
        <v>8.3922239999999985E-3</v>
      </c>
    </row>
    <row r="50" spans="1:5" x14ac:dyDescent="0.25">
      <c r="B50" t="s">
        <v>982</v>
      </c>
      <c r="C50">
        <f>44.06/1000</f>
        <v>4.4060000000000002E-2</v>
      </c>
      <c r="D50">
        <v>0.1125</v>
      </c>
      <c r="E50">
        <f>D50*C50</f>
        <v>4.9567500000000002E-3</v>
      </c>
    </row>
    <row r="51" spans="1:5" x14ac:dyDescent="0.25">
      <c r="B51" t="s">
        <v>983</v>
      </c>
      <c r="C51">
        <f>50.18/1000</f>
        <v>5.0180000000000002E-2</v>
      </c>
      <c r="D51">
        <v>2.5999999999999999E-2</v>
      </c>
      <c r="E51">
        <f>D51*C51</f>
        <v>1.3046799999999999E-3</v>
      </c>
    </row>
    <row r="52" spans="1:5" x14ac:dyDescent="0.25">
      <c r="B52" t="s">
        <v>331</v>
      </c>
      <c r="C52">
        <f>152.82/1000</f>
        <v>0.15281999999999998</v>
      </c>
    </row>
    <row r="61" spans="1:5" x14ac:dyDescent="0.25">
      <c r="A61" s="2" t="s">
        <v>987</v>
      </c>
    </row>
    <row r="62" spans="1:5" x14ac:dyDescent="0.25">
      <c r="B62" t="s">
        <v>1025</v>
      </c>
    </row>
    <row r="63" spans="1:5" x14ac:dyDescent="0.25">
      <c r="B63" t="s">
        <v>476</v>
      </c>
      <c r="C63" t="s">
        <v>1005</v>
      </c>
      <c r="D63" t="s">
        <v>1006</v>
      </c>
    </row>
    <row r="64" spans="1:5" x14ac:dyDescent="0.25">
      <c r="A64" t="s">
        <v>1000</v>
      </c>
      <c r="B64">
        <v>7.47</v>
      </c>
      <c r="C64">
        <v>4.67</v>
      </c>
      <c r="D64">
        <v>1.8</v>
      </c>
    </row>
    <row r="65" spans="1:4" x14ac:dyDescent="0.25">
      <c r="A65" s="35" t="s">
        <v>1001</v>
      </c>
      <c r="B65">
        <v>5.4</v>
      </c>
      <c r="C65">
        <v>1.3</v>
      </c>
      <c r="D65">
        <v>0.48</v>
      </c>
    </row>
    <row r="66" spans="1:4" x14ac:dyDescent="0.25">
      <c r="A66" s="40" t="s">
        <v>988</v>
      </c>
      <c r="B66">
        <v>0.4</v>
      </c>
      <c r="C66">
        <v>0.17</v>
      </c>
      <c r="D66">
        <v>0.2</v>
      </c>
    </row>
    <row r="67" spans="1:4" x14ac:dyDescent="0.25">
      <c r="A67" s="40" t="s">
        <v>1002</v>
      </c>
      <c r="B67">
        <v>3.65</v>
      </c>
      <c r="C67">
        <v>0.93</v>
      </c>
      <c r="D67">
        <v>0.65</v>
      </c>
    </row>
    <row r="68" spans="1:4" x14ac:dyDescent="0.25">
      <c r="A68" s="40" t="s">
        <v>1003</v>
      </c>
      <c r="B68">
        <v>4.5599999999999996</v>
      </c>
      <c r="C68">
        <v>1.79</v>
      </c>
      <c r="D68">
        <v>1.52</v>
      </c>
    </row>
    <row r="69" spans="1:4" x14ac:dyDescent="0.25">
      <c r="A69" s="40" t="s">
        <v>1004</v>
      </c>
      <c r="B69">
        <v>1.98</v>
      </c>
      <c r="C69">
        <v>0.77</v>
      </c>
      <c r="D69">
        <v>1.54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393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2" workbookViewId="0">
      <selection activeCell="C74" sqref="C74"/>
    </sheetView>
  </sheetViews>
  <sheetFormatPr defaultRowHeight="15" x14ac:dyDescent="0.25"/>
  <cols>
    <col min="3" max="3" width="16.7109375" customWidth="1"/>
  </cols>
  <sheetData>
    <row r="1" spans="1:7" x14ac:dyDescent="0.25">
      <c r="A1" s="2" t="s">
        <v>405</v>
      </c>
    </row>
    <row r="2" spans="1:7" x14ac:dyDescent="0.25">
      <c r="B2" t="s">
        <v>425</v>
      </c>
    </row>
    <row r="3" spans="1:7" x14ac:dyDescent="0.25">
      <c r="B3" t="s">
        <v>424</v>
      </c>
      <c r="C3" s="18">
        <v>0.79400000000000004</v>
      </c>
    </row>
    <row r="4" spans="1:7" x14ac:dyDescent="0.25">
      <c r="B4" t="s">
        <v>426</v>
      </c>
      <c r="C4" s="18">
        <v>6.0999999999999999E-2</v>
      </c>
    </row>
    <row r="5" spans="1:7" x14ac:dyDescent="0.25">
      <c r="B5" t="s">
        <v>427</v>
      </c>
      <c r="C5" s="18">
        <v>0.14499999999999999</v>
      </c>
    </row>
    <row r="7" spans="1:7" x14ac:dyDescent="0.25">
      <c r="B7" t="s">
        <v>436</v>
      </c>
    </row>
    <row r="8" spans="1:7" x14ac:dyDescent="0.25">
      <c r="C8" t="s">
        <v>439</v>
      </c>
      <c r="D8" t="s">
        <v>438</v>
      </c>
      <c r="E8" t="s">
        <v>440</v>
      </c>
    </row>
    <row r="9" spans="1:7" x14ac:dyDescent="0.25">
      <c r="B9" t="s">
        <v>437</v>
      </c>
      <c r="C9" s="18">
        <v>0.60499999999999998</v>
      </c>
      <c r="D9" s="18">
        <v>0.28399999999999997</v>
      </c>
      <c r="E9" s="18">
        <v>0.111</v>
      </c>
      <c r="G9" t="s">
        <v>442</v>
      </c>
    </row>
    <row r="10" spans="1:7" x14ac:dyDescent="0.25">
      <c r="B10" t="s">
        <v>441</v>
      </c>
      <c r="C10" s="18">
        <v>0.45900000000000002</v>
      </c>
      <c r="D10" s="18">
        <v>0.39300000000000002</v>
      </c>
      <c r="E10" s="18">
        <v>0.14799999999999999</v>
      </c>
      <c r="G10" t="s">
        <v>443</v>
      </c>
    </row>
    <row r="11" spans="1:7" x14ac:dyDescent="0.25">
      <c r="G11" t="s">
        <v>444</v>
      </c>
    </row>
    <row r="13" spans="1:7" x14ac:dyDescent="0.25">
      <c r="B13" t="s">
        <v>445</v>
      </c>
    </row>
    <row r="14" spans="1:7" x14ac:dyDescent="0.25">
      <c r="B14" t="s">
        <v>446</v>
      </c>
      <c r="C14" s="18">
        <v>0.754</v>
      </c>
    </row>
    <row r="15" spans="1:7" x14ac:dyDescent="0.25">
      <c r="B15" t="s">
        <v>447</v>
      </c>
      <c r="C15" s="18">
        <v>0.246</v>
      </c>
    </row>
    <row r="17" spans="1:13" x14ac:dyDescent="0.25">
      <c r="A17" s="2" t="s">
        <v>474</v>
      </c>
    </row>
    <row r="18" spans="1:13" x14ac:dyDescent="0.25">
      <c r="C18" s="44">
        <v>2015</v>
      </c>
      <c r="D18" s="44"/>
      <c r="E18" s="44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479</v>
      </c>
      <c r="D19" t="s">
        <v>480</v>
      </c>
      <c r="E19" t="s">
        <v>481</v>
      </c>
      <c r="G19" t="s">
        <v>482</v>
      </c>
      <c r="H19" t="s">
        <v>483</v>
      </c>
      <c r="I19" t="s">
        <v>484</v>
      </c>
      <c r="K19" s="21" t="s">
        <v>482</v>
      </c>
      <c r="L19" s="21" t="s">
        <v>483</v>
      </c>
      <c r="M19" s="21" t="s">
        <v>484</v>
      </c>
    </row>
    <row r="20" spans="1:13" x14ac:dyDescent="0.25">
      <c r="B20" t="s">
        <v>475</v>
      </c>
      <c r="C20" s="4">
        <v>85807</v>
      </c>
      <c r="D20" s="4">
        <v>158077</v>
      </c>
      <c r="E20" s="7">
        <f t="shared" ref="E20:E26" si="0"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476</v>
      </c>
      <c r="C21" s="4">
        <v>83847</v>
      </c>
      <c r="D21" s="4">
        <v>144303</v>
      </c>
      <c r="E21" s="7">
        <f t="shared" si="0"/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477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478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485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486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 t="shared" si="0"/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538</v>
      </c>
      <c r="F28" s="21"/>
      <c r="G28" s="4"/>
      <c r="H28" s="4"/>
      <c r="K28" s="4"/>
      <c r="L28" s="4"/>
    </row>
    <row r="29" spans="1:13" x14ac:dyDescent="0.25">
      <c r="B29" t="s">
        <v>539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A32" s="2" t="s">
        <v>588</v>
      </c>
      <c r="F32" s="21"/>
      <c r="G32" s="4"/>
      <c r="H32" s="4"/>
      <c r="K32" s="4"/>
      <c r="L32" s="4"/>
    </row>
    <row r="33" spans="1:12" x14ac:dyDescent="0.25">
      <c r="B33" s="21" t="s">
        <v>505</v>
      </c>
      <c r="C33" s="21" t="s">
        <v>589</v>
      </c>
      <c r="D33" s="21" t="s">
        <v>590</v>
      </c>
      <c r="E33" s="21" t="s">
        <v>591</v>
      </c>
      <c r="F33" s="21" t="s">
        <v>592</v>
      </c>
      <c r="G33" s="21" t="s">
        <v>590</v>
      </c>
      <c r="H33" s="4" t="s">
        <v>591</v>
      </c>
      <c r="K33" s="4"/>
      <c r="L33" s="4"/>
    </row>
    <row r="34" spans="1:12" x14ac:dyDescent="0.25">
      <c r="B34" s="21">
        <v>2010</v>
      </c>
      <c r="C34" s="21">
        <v>31</v>
      </c>
      <c r="D34" s="21">
        <v>27</v>
      </c>
      <c r="E34" s="21">
        <v>38</v>
      </c>
      <c r="F34" s="21">
        <v>17</v>
      </c>
      <c r="G34" s="21">
        <v>13</v>
      </c>
      <c r="H34" s="4">
        <v>22</v>
      </c>
    </row>
    <row r="35" spans="1:12" x14ac:dyDescent="0.25">
      <c r="B35" s="21">
        <v>2011</v>
      </c>
      <c r="C35" s="21">
        <v>38</v>
      </c>
      <c r="D35" s="21">
        <v>33</v>
      </c>
      <c r="E35" s="21">
        <v>46</v>
      </c>
      <c r="F35" s="21">
        <v>25</v>
      </c>
      <c r="G35" s="21">
        <v>19</v>
      </c>
      <c r="H35" s="21">
        <v>32</v>
      </c>
    </row>
    <row r="36" spans="1:12" x14ac:dyDescent="0.25">
      <c r="B36" s="21">
        <v>2012</v>
      </c>
      <c r="C36" s="21">
        <v>42</v>
      </c>
      <c r="D36" s="21">
        <v>36</v>
      </c>
      <c r="E36" s="21">
        <v>51</v>
      </c>
      <c r="F36" s="21">
        <v>30</v>
      </c>
      <c r="G36" s="21">
        <v>23</v>
      </c>
      <c r="H36" s="4">
        <v>39</v>
      </c>
      <c r="K36" s="4"/>
      <c r="L36" s="4"/>
    </row>
    <row r="37" spans="1:12" x14ac:dyDescent="0.25">
      <c r="B37" s="21">
        <v>2013</v>
      </c>
      <c r="C37" s="21">
        <v>45</v>
      </c>
      <c r="D37" s="21">
        <v>38</v>
      </c>
      <c r="E37" s="21">
        <v>54</v>
      </c>
      <c r="F37" s="21">
        <v>35</v>
      </c>
      <c r="G37" s="21">
        <v>27</v>
      </c>
      <c r="H37" s="4">
        <v>45</v>
      </c>
      <c r="K37" s="4"/>
      <c r="L37" s="4"/>
    </row>
    <row r="38" spans="1:12" x14ac:dyDescent="0.25">
      <c r="B38" s="21">
        <v>2014</v>
      </c>
      <c r="C38" s="21">
        <v>51</v>
      </c>
      <c r="D38" s="21">
        <v>43</v>
      </c>
      <c r="E38" s="21">
        <v>61</v>
      </c>
      <c r="F38" s="21">
        <v>41</v>
      </c>
      <c r="G38" s="21">
        <v>31</v>
      </c>
      <c r="H38" s="4">
        <v>52</v>
      </c>
      <c r="K38" s="4"/>
      <c r="L38" s="4"/>
    </row>
    <row r="39" spans="1:12" x14ac:dyDescent="0.25">
      <c r="B39" s="21">
        <v>2015</v>
      </c>
      <c r="C39" s="21">
        <v>60</v>
      </c>
      <c r="D39" s="21">
        <v>51</v>
      </c>
      <c r="E39" s="21">
        <v>72</v>
      </c>
      <c r="F39" s="21">
        <v>48</v>
      </c>
      <c r="G39" s="21">
        <v>37</v>
      </c>
      <c r="H39" s="4">
        <v>61</v>
      </c>
      <c r="K39" s="4"/>
      <c r="L39" s="4"/>
    </row>
    <row r="40" spans="1:12" x14ac:dyDescent="0.25">
      <c r="B40" s="21">
        <v>2016</v>
      </c>
      <c r="C40" s="21">
        <v>67</v>
      </c>
      <c r="D40" s="21">
        <v>57</v>
      </c>
      <c r="E40" s="21">
        <v>81</v>
      </c>
      <c r="F40" s="21">
        <v>56</v>
      </c>
      <c r="G40" s="21">
        <v>44</v>
      </c>
      <c r="H40" s="4">
        <v>72</v>
      </c>
      <c r="K40" s="4"/>
      <c r="L40" s="4"/>
    </row>
    <row r="41" spans="1:12" x14ac:dyDescent="0.25">
      <c r="B41" s="21">
        <v>2017</v>
      </c>
      <c r="C41" s="21">
        <v>73</v>
      </c>
      <c r="D41" s="21">
        <v>62</v>
      </c>
      <c r="E41" s="21">
        <v>88</v>
      </c>
      <c r="F41" s="21">
        <v>66</v>
      </c>
      <c r="G41" s="21">
        <v>51</v>
      </c>
      <c r="H41" s="4">
        <v>85</v>
      </c>
      <c r="K41" s="4"/>
      <c r="L41" s="4"/>
    </row>
    <row r="42" spans="1:12" x14ac:dyDescent="0.25">
      <c r="B42" s="21">
        <v>2018</v>
      </c>
      <c r="C42" s="21">
        <v>69</v>
      </c>
      <c r="D42" s="21">
        <v>59</v>
      </c>
      <c r="E42" s="21">
        <v>83</v>
      </c>
      <c r="F42" s="21">
        <v>61</v>
      </c>
      <c r="G42" s="21">
        <v>47</v>
      </c>
      <c r="H42" s="21">
        <v>78</v>
      </c>
    </row>
    <row r="44" spans="1:12" x14ac:dyDescent="0.25">
      <c r="A44" s="2" t="s">
        <v>593</v>
      </c>
    </row>
    <row r="46" spans="1:12" x14ac:dyDescent="0.25">
      <c r="J46" s="2"/>
    </row>
    <row r="71" spans="1:8" x14ac:dyDescent="0.25">
      <c r="A71" s="2" t="s">
        <v>1026</v>
      </c>
    </row>
    <row r="72" spans="1:8" x14ac:dyDescent="0.25">
      <c r="B72" t="s">
        <v>620</v>
      </c>
    </row>
    <row r="73" spans="1:8" x14ac:dyDescent="0.25">
      <c r="B73" t="s">
        <v>199</v>
      </c>
      <c r="C73" t="s">
        <v>218</v>
      </c>
      <c r="D73" t="s">
        <v>581</v>
      </c>
      <c r="E73" t="s">
        <v>582</v>
      </c>
      <c r="F73" s="37" t="s">
        <v>220</v>
      </c>
      <c r="G73" s="37" t="s">
        <v>581</v>
      </c>
      <c r="H73" s="37" t="s">
        <v>582</v>
      </c>
    </row>
    <row r="74" spans="1:8" x14ac:dyDescent="0.25">
      <c r="B74">
        <v>2015</v>
      </c>
      <c r="C74">
        <v>66</v>
      </c>
      <c r="D74">
        <v>56</v>
      </c>
      <c r="E74">
        <v>79</v>
      </c>
      <c r="F74">
        <v>51</v>
      </c>
      <c r="G74">
        <v>43</v>
      </c>
      <c r="H74">
        <v>62</v>
      </c>
    </row>
    <row r="75" spans="1:8" x14ac:dyDescent="0.25">
      <c r="B75">
        <v>2016</v>
      </c>
      <c r="C75">
        <v>74</v>
      </c>
      <c r="D75">
        <v>63</v>
      </c>
      <c r="E75">
        <v>89</v>
      </c>
      <c r="F75">
        <v>56</v>
      </c>
      <c r="G75">
        <v>47</v>
      </c>
      <c r="H75">
        <v>68</v>
      </c>
    </row>
    <row r="76" spans="1:8" x14ac:dyDescent="0.25">
      <c r="B76">
        <v>2017</v>
      </c>
      <c r="C76">
        <v>80</v>
      </c>
      <c r="D76">
        <v>68</v>
      </c>
      <c r="E76">
        <v>95</v>
      </c>
      <c r="F76">
        <v>61</v>
      </c>
      <c r="G76">
        <v>52</v>
      </c>
      <c r="H76">
        <v>74</v>
      </c>
    </row>
    <row r="77" spans="1:8" x14ac:dyDescent="0.25">
      <c r="B77">
        <v>2018</v>
      </c>
      <c r="C77">
        <v>75</v>
      </c>
      <c r="D77">
        <v>64</v>
      </c>
      <c r="E77">
        <v>90</v>
      </c>
      <c r="F77">
        <v>59</v>
      </c>
      <c r="G77">
        <v>50</v>
      </c>
      <c r="H77">
        <v>71</v>
      </c>
    </row>
  </sheetData>
  <mergeCells count="1">
    <mergeCell ref="C18:E1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405</v>
      </c>
    </row>
    <row r="2" spans="1:4" x14ac:dyDescent="0.25">
      <c r="B2" t="s">
        <v>428</v>
      </c>
    </row>
    <row r="3" spans="1:4" x14ac:dyDescent="0.25">
      <c r="C3" t="s">
        <v>432</v>
      </c>
      <c r="D3" t="s">
        <v>75</v>
      </c>
    </row>
    <row r="4" spans="1:4" x14ac:dyDescent="0.25">
      <c r="B4" t="s">
        <v>429</v>
      </c>
      <c r="C4">
        <v>30.6</v>
      </c>
      <c r="D4" t="s">
        <v>433</v>
      </c>
    </row>
    <row r="5" spans="1:4" x14ac:dyDescent="0.25">
      <c r="B5" t="s">
        <v>430</v>
      </c>
      <c r="C5">
        <v>14.5</v>
      </c>
      <c r="D5" t="s">
        <v>434</v>
      </c>
    </row>
    <row r="6" spans="1:4" x14ac:dyDescent="0.25">
      <c r="B6" t="s">
        <v>431</v>
      </c>
      <c r="C6">
        <v>54.9</v>
      </c>
      <c r="D6" t="s">
        <v>435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0"/>
  <sheetViews>
    <sheetView topLeftCell="A28" workbookViewId="0">
      <selection activeCell="C54" sqref="C54"/>
    </sheetView>
  </sheetViews>
  <sheetFormatPr defaultRowHeight="15" x14ac:dyDescent="0.25"/>
  <cols>
    <col min="4" max="4" width="16.28515625" bestFit="1" customWidth="1"/>
    <col min="5" max="5" width="15.42578125" customWidth="1"/>
    <col min="6" max="6" width="16.42578125" customWidth="1"/>
    <col min="7" max="7" width="16.5703125" customWidth="1"/>
  </cols>
  <sheetData>
    <row r="2" spans="1:8" x14ac:dyDescent="0.25">
      <c r="A2" s="2" t="s">
        <v>504</v>
      </c>
    </row>
    <row r="4" spans="1:8" x14ac:dyDescent="0.25">
      <c r="B4" s="21" t="s">
        <v>514</v>
      </c>
      <c r="C4" s="21"/>
      <c r="D4" s="21"/>
      <c r="E4" s="21"/>
      <c r="F4" s="21"/>
      <c r="G4" s="21"/>
      <c r="H4" s="21"/>
    </row>
    <row r="5" spans="1:8" x14ac:dyDescent="0.25">
      <c r="B5" s="21" t="s">
        <v>505</v>
      </c>
      <c r="C5" s="21" t="s">
        <v>513</v>
      </c>
      <c r="D5" s="21"/>
      <c r="E5" s="21"/>
      <c r="F5" s="21"/>
      <c r="G5" s="21"/>
      <c r="H5" s="21"/>
    </row>
    <row r="6" spans="1:8" x14ac:dyDescent="0.25">
      <c r="B6" s="21" t="s">
        <v>506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507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508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509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510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511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512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515</v>
      </c>
    </row>
    <row r="15" spans="1:8" x14ac:dyDescent="0.25">
      <c r="B15" t="s">
        <v>199</v>
      </c>
      <c r="C15" s="4" t="s">
        <v>517</v>
      </c>
      <c r="E15" s="4" t="s">
        <v>518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527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485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516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476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478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486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477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519</v>
      </c>
    </row>
    <row r="26" spans="1:6" x14ac:dyDescent="0.25">
      <c r="B26" t="s">
        <v>521</v>
      </c>
    </row>
    <row r="27" spans="1:6" x14ac:dyDescent="0.25">
      <c r="B27" t="s">
        <v>520</v>
      </c>
      <c r="C27" s="12">
        <v>0.158</v>
      </c>
    </row>
    <row r="29" spans="1:6" x14ac:dyDescent="0.25">
      <c r="A29" s="2" t="s">
        <v>523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522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524</v>
      </c>
    </row>
    <row r="38" spans="1:3" x14ac:dyDescent="0.25">
      <c r="B38" t="s">
        <v>269</v>
      </c>
    </row>
    <row r="39" spans="1:3" x14ac:dyDescent="0.25">
      <c r="B39" s="12" t="s">
        <v>525</v>
      </c>
      <c r="C39" s="12">
        <v>0.42799999999999999</v>
      </c>
    </row>
    <row r="40" spans="1:3" x14ac:dyDescent="0.25">
      <c r="B40" t="s">
        <v>526</v>
      </c>
    </row>
    <row r="41" spans="1:3" x14ac:dyDescent="0.25">
      <c r="B41" s="12" t="s">
        <v>525</v>
      </c>
      <c r="C41" s="12">
        <v>0.42099999999999999</v>
      </c>
    </row>
    <row r="43" spans="1:3" x14ac:dyDescent="0.25">
      <c r="A43" s="2" t="s">
        <v>636</v>
      </c>
    </row>
    <row r="44" spans="1:3" x14ac:dyDescent="0.25">
      <c r="B44" t="s">
        <v>637</v>
      </c>
    </row>
    <row r="46" spans="1:3" x14ac:dyDescent="0.25">
      <c r="A46" s="2" t="s">
        <v>716</v>
      </c>
    </row>
    <row r="47" spans="1:3" x14ac:dyDescent="0.25">
      <c r="B47" t="s">
        <v>717</v>
      </c>
    </row>
    <row r="48" spans="1:3" x14ac:dyDescent="0.25">
      <c r="B48" t="s">
        <v>718</v>
      </c>
      <c r="C48" s="12">
        <v>0.95399999999999996</v>
      </c>
    </row>
    <row r="49" spans="1:5" x14ac:dyDescent="0.25">
      <c r="B49" t="s">
        <v>719</v>
      </c>
      <c r="C49" s="12">
        <v>0.93100000000000005</v>
      </c>
      <c r="D49" s="5">
        <f>C49*C48</f>
        <v>0.88817400000000002</v>
      </c>
    </row>
    <row r="50" spans="1:5" x14ac:dyDescent="0.25">
      <c r="B50" t="s">
        <v>720</v>
      </c>
      <c r="C50" s="12">
        <v>0.97799999999999998</v>
      </c>
      <c r="D50" s="18">
        <f>C50*D49</f>
        <v>0.86863417200000004</v>
      </c>
    </row>
    <row r="51" spans="1:5" x14ac:dyDescent="0.25">
      <c r="B51" t="s">
        <v>721</v>
      </c>
      <c r="C51" s="12">
        <v>2.9000000000000001E-2</v>
      </c>
      <c r="D51" s="18">
        <f>C51*D50</f>
        <v>2.5190390988000001E-2</v>
      </c>
    </row>
    <row r="52" spans="1:5" x14ac:dyDescent="0.25">
      <c r="D52" t="s">
        <v>581</v>
      </c>
      <c r="E52" t="s">
        <v>582</v>
      </c>
    </row>
    <row r="53" spans="1:5" x14ac:dyDescent="0.25">
      <c r="B53" t="s">
        <v>722</v>
      </c>
      <c r="C53" s="12">
        <v>0.82499999999999996</v>
      </c>
    </row>
    <row r="54" spans="1:5" x14ac:dyDescent="0.25">
      <c r="B54" t="s">
        <v>723</v>
      </c>
      <c r="C54" s="12">
        <v>0.151</v>
      </c>
      <c r="D54" s="18">
        <v>2.4E-2</v>
      </c>
      <c r="E54" s="19">
        <v>0.27800000000000002</v>
      </c>
    </row>
    <row r="56" spans="1:5" x14ac:dyDescent="0.25">
      <c r="A56" s="2" t="s">
        <v>724</v>
      </c>
    </row>
    <row r="57" spans="1:5" x14ac:dyDescent="0.25">
      <c r="B57" t="s">
        <v>725</v>
      </c>
    </row>
    <row r="58" spans="1:5" x14ac:dyDescent="0.25">
      <c r="B58" t="s">
        <v>989</v>
      </c>
      <c r="C58" s="12">
        <v>5.8999999999999997E-2</v>
      </c>
    </row>
    <row r="59" spans="1:5" x14ac:dyDescent="0.25">
      <c r="B59" t="s">
        <v>726</v>
      </c>
      <c r="C59" s="12">
        <v>4.2999999999999997E-2</v>
      </c>
    </row>
    <row r="60" spans="1:5" x14ac:dyDescent="0.25">
      <c r="B60">
        <v>2013</v>
      </c>
      <c r="C60">
        <v>5.9</v>
      </c>
    </row>
    <row r="61" spans="1:5" x14ac:dyDescent="0.25">
      <c r="B61">
        <v>2014</v>
      </c>
      <c r="C61">
        <v>5.0999999999999996</v>
      </c>
    </row>
    <row r="62" spans="1:5" x14ac:dyDescent="0.25">
      <c r="B62">
        <v>2015</v>
      </c>
      <c r="C62">
        <v>3.2</v>
      </c>
    </row>
    <row r="63" spans="1:5" x14ac:dyDescent="0.25">
      <c r="B63">
        <v>2016</v>
      </c>
      <c r="C63">
        <v>2.5</v>
      </c>
    </row>
    <row r="65" spans="1:7" x14ac:dyDescent="0.25">
      <c r="A65" s="2" t="s">
        <v>729</v>
      </c>
    </row>
    <row r="66" spans="1:7" x14ac:dyDescent="0.25">
      <c r="B66" t="s">
        <v>727</v>
      </c>
    </row>
    <row r="67" spans="1:7" x14ac:dyDescent="0.25">
      <c r="B67" t="s">
        <v>728</v>
      </c>
      <c r="C67">
        <v>9.3000000000000007</v>
      </c>
    </row>
    <row r="69" spans="1:7" x14ac:dyDescent="0.25">
      <c r="A69" s="2" t="s">
        <v>787</v>
      </c>
    </row>
    <row r="70" spans="1:7" x14ac:dyDescent="0.25">
      <c r="B70" t="s">
        <v>730</v>
      </c>
    </row>
    <row r="71" spans="1:7" x14ac:dyDescent="0.25">
      <c r="B71" t="s">
        <v>732</v>
      </c>
      <c r="C71" t="s">
        <v>731</v>
      </c>
      <c r="D71" t="s">
        <v>581</v>
      </c>
      <c r="E71" t="s">
        <v>582</v>
      </c>
    </row>
    <row r="72" spans="1:7" x14ac:dyDescent="0.25">
      <c r="B72" t="s">
        <v>733</v>
      </c>
      <c r="C72" s="13">
        <v>0.05</v>
      </c>
      <c r="D72">
        <v>3.4</v>
      </c>
      <c r="E72">
        <v>7.4</v>
      </c>
    </row>
    <row r="73" spans="1:7" x14ac:dyDescent="0.25">
      <c r="B73">
        <v>12</v>
      </c>
      <c r="C73" s="12">
        <v>5.7000000000000002E-2</v>
      </c>
      <c r="D73">
        <v>4</v>
      </c>
      <c r="E73">
        <v>8.3000000000000007</v>
      </c>
    </row>
    <row r="74" spans="1:7" x14ac:dyDescent="0.25">
      <c r="B74">
        <v>18</v>
      </c>
      <c r="C74">
        <v>6.7</v>
      </c>
      <c r="D74">
        <v>4.8</v>
      </c>
      <c r="E74">
        <v>9.4</v>
      </c>
    </row>
    <row r="75" spans="1:7" x14ac:dyDescent="0.25">
      <c r="B75">
        <v>24</v>
      </c>
      <c r="C75">
        <v>7</v>
      </c>
      <c r="D75">
        <v>5</v>
      </c>
      <c r="E75">
        <v>9.6999999999999993</v>
      </c>
    </row>
    <row r="77" spans="1:7" x14ac:dyDescent="0.25">
      <c r="B77" s="37" t="s">
        <v>759</v>
      </c>
    </row>
    <row r="78" spans="1:7" x14ac:dyDescent="0.25">
      <c r="C78" t="s">
        <v>754</v>
      </c>
      <c r="D78" t="s">
        <v>755</v>
      </c>
      <c r="E78" t="s">
        <v>756</v>
      </c>
      <c r="F78" t="s">
        <v>757</v>
      </c>
      <c r="G78" t="s">
        <v>758</v>
      </c>
    </row>
    <row r="79" spans="1:7" x14ac:dyDescent="0.25">
      <c r="B79" t="s">
        <v>429</v>
      </c>
      <c r="C79" t="s">
        <v>734</v>
      </c>
      <c r="D79" t="s">
        <v>735</v>
      </c>
      <c r="E79" t="s">
        <v>736</v>
      </c>
      <c r="F79" t="s">
        <v>737</v>
      </c>
      <c r="G79" t="s">
        <v>737</v>
      </c>
    </row>
    <row r="80" spans="1:7" x14ac:dyDescent="0.25">
      <c r="B80" t="s">
        <v>738</v>
      </c>
      <c r="C80" t="s">
        <v>739</v>
      </c>
      <c r="D80" t="s">
        <v>740</v>
      </c>
      <c r="E80" t="s">
        <v>741</v>
      </c>
      <c r="F80" t="s">
        <v>742</v>
      </c>
      <c r="G80" t="s">
        <v>743</v>
      </c>
    </row>
    <row r="81" spans="2:7" x14ac:dyDescent="0.25">
      <c r="B81" t="s">
        <v>744</v>
      </c>
      <c r="C81" t="s">
        <v>745</v>
      </c>
      <c r="D81" t="s">
        <v>746</v>
      </c>
      <c r="E81" t="s">
        <v>746</v>
      </c>
      <c r="F81" t="s">
        <v>747</v>
      </c>
      <c r="G81" t="s">
        <v>747</v>
      </c>
    </row>
    <row r="82" spans="2:7" x14ac:dyDescent="0.25">
      <c r="B82" t="s">
        <v>748</v>
      </c>
      <c r="C82" t="s">
        <v>749</v>
      </c>
      <c r="D82" t="s">
        <v>750</v>
      </c>
      <c r="E82" t="s">
        <v>751</v>
      </c>
      <c r="F82" t="s">
        <v>752</v>
      </c>
      <c r="G82" t="s">
        <v>753</v>
      </c>
    </row>
    <row r="83" spans="2:7" x14ac:dyDescent="0.25">
      <c r="B83" t="s">
        <v>744</v>
      </c>
      <c r="C83" t="s">
        <v>745</v>
      </c>
      <c r="D83" t="s">
        <v>746</v>
      </c>
      <c r="E83" t="s">
        <v>746</v>
      </c>
      <c r="F83" t="s">
        <v>747</v>
      </c>
      <c r="G83" t="s">
        <v>747</v>
      </c>
    </row>
    <row r="85" spans="2:7" x14ac:dyDescent="0.25">
      <c r="B85" t="s">
        <v>760</v>
      </c>
      <c r="C85" t="s">
        <v>761</v>
      </c>
      <c r="D85" t="s">
        <v>761</v>
      </c>
      <c r="E85" t="s">
        <v>761</v>
      </c>
      <c r="F85" t="s">
        <v>761</v>
      </c>
      <c r="G85" t="s">
        <v>761</v>
      </c>
    </row>
    <row r="86" spans="2:7" x14ac:dyDescent="0.25">
      <c r="B86" t="s">
        <v>762</v>
      </c>
      <c r="C86" t="s">
        <v>763</v>
      </c>
      <c r="D86" t="s">
        <v>764</v>
      </c>
      <c r="E86" t="s">
        <v>765</v>
      </c>
      <c r="F86" t="s">
        <v>765</v>
      </c>
      <c r="G86" t="s">
        <v>765</v>
      </c>
    </row>
    <row r="87" spans="2:7" x14ac:dyDescent="0.25">
      <c r="B87" t="s">
        <v>766</v>
      </c>
      <c r="C87" t="s">
        <v>767</v>
      </c>
      <c r="D87" t="s">
        <v>768</v>
      </c>
      <c r="E87" t="s">
        <v>769</v>
      </c>
      <c r="F87" t="s">
        <v>770</v>
      </c>
      <c r="G87" t="s">
        <v>770</v>
      </c>
    </row>
    <row r="88" spans="2:7" x14ac:dyDescent="0.25">
      <c r="B88" t="s">
        <v>771</v>
      </c>
      <c r="C88" t="s">
        <v>772</v>
      </c>
      <c r="D88" t="s">
        <v>773</v>
      </c>
      <c r="E88" t="s">
        <v>774</v>
      </c>
      <c r="F88" t="s">
        <v>775</v>
      </c>
      <c r="G88" t="s">
        <v>776</v>
      </c>
    </row>
    <row r="89" spans="2:7" x14ac:dyDescent="0.25">
      <c r="B89" t="s">
        <v>777</v>
      </c>
      <c r="C89" t="s">
        <v>778</v>
      </c>
      <c r="D89" t="s">
        <v>779</v>
      </c>
      <c r="E89" t="s">
        <v>780</v>
      </c>
      <c r="F89" t="s">
        <v>780</v>
      </c>
      <c r="G89" t="s">
        <v>780</v>
      </c>
    </row>
    <row r="90" spans="2:7" x14ac:dyDescent="0.25">
      <c r="B90" t="s">
        <v>781</v>
      </c>
      <c r="C90" t="s">
        <v>782</v>
      </c>
      <c r="D90" t="s">
        <v>783</v>
      </c>
      <c r="E90" t="s">
        <v>784</v>
      </c>
      <c r="F90" t="s">
        <v>785</v>
      </c>
      <c r="G90" t="s">
        <v>786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tabSelected="1" topLeftCell="A67" workbookViewId="0">
      <selection activeCell="K72" sqref="K72"/>
    </sheetView>
  </sheetViews>
  <sheetFormatPr defaultRowHeight="15" x14ac:dyDescent="0.25"/>
  <sheetData>
    <row r="1" spans="1:4" s="21" customFormat="1" x14ac:dyDescent="0.25">
      <c r="A1" s="2" t="s">
        <v>393</v>
      </c>
    </row>
    <row r="2" spans="1:4" s="21" customFormat="1" x14ac:dyDescent="0.25">
      <c r="B2" s="21" t="s">
        <v>469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392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22" x14ac:dyDescent="0.25">
      <c r="B49" t="s">
        <v>158</v>
      </c>
      <c r="C49">
        <v>74.7</v>
      </c>
      <c r="D49">
        <v>69.599999999999994</v>
      </c>
    </row>
    <row r="51" spans="1:22" s="21" customFormat="1" x14ac:dyDescent="0.25">
      <c r="A51" s="21" t="s">
        <v>621</v>
      </c>
      <c r="B51" s="21" t="s">
        <v>502</v>
      </c>
      <c r="K51" s="21" t="s">
        <v>503</v>
      </c>
    </row>
    <row r="52" spans="1:22" s="21" customFormat="1" x14ac:dyDescent="0.25">
      <c r="B52" s="38" t="s">
        <v>182</v>
      </c>
      <c r="C52" s="21" t="s">
        <v>225</v>
      </c>
      <c r="F52" s="21" t="s">
        <v>220</v>
      </c>
      <c r="K52" s="38" t="s">
        <v>182</v>
      </c>
      <c r="L52" s="21" t="s">
        <v>225</v>
      </c>
      <c r="O52" s="21" t="s">
        <v>220</v>
      </c>
    </row>
    <row r="53" spans="1:22" s="21" customFormat="1" x14ac:dyDescent="0.25">
      <c r="B53" s="21" t="s">
        <v>249</v>
      </c>
      <c r="C53" s="21" t="s">
        <v>495</v>
      </c>
      <c r="D53" s="21" t="s">
        <v>496</v>
      </c>
      <c r="E53" s="21" t="s">
        <v>498</v>
      </c>
      <c r="F53" s="21" t="s">
        <v>495</v>
      </c>
      <c r="G53" s="21" t="s">
        <v>496</v>
      </c>
      <c r="H53" s="21" t="s">
        <v>498</v>
      </c>
      <c r="K53" s="21" t="s">
        <v>249</v>
      </c>
      <c r="L53" s="21" t="s">
        <v>495</v>
      </c>
      <c r="M53" s="21" t="s">
        <v>496</v>
      </c>
      <c r="N53" s="21" t="s">
        <v>498</v>
      </c>
      <c r="O53" s="21" t="s">
        <v>495</v>
      </c>
      <c r="P53" s="21" t="s">
        <v>496</v>
      </c>
      <c r="Q53" s="21" t="s">
        <v>498</v>
      </c>
    </row>
    <row r="54" spans="1:22" s="21" customFormat="1" ht="15" customHeight="1" x14ac:dyDescent="0.25">
      <c r="B54" s="21" t="s">
        <v>499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499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22" s="21" customFormat="1" ht="15" customHeight="1" x14ac:dyDescent="0.25">
      <c r="B55" s="22" t="s">
        <v>463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463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22" s="21" customFormat="1" x14ac:dyDescent="0.25">
      <c r="B56" s="22" t="s">
        <v>341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341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  <c r="V56" s="2"/>
    </row>
    <row r="57" spans="1:22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I57" s="37"/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22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I58" s="37"/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22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I59" s="37"/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  <c r="V59" s="2"/>
    </row>
    <row r="60" spans="1:22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0">
        <f>(H59+H61)/2</f>
        <v>4.6860000000000001E-3</v>
      </c>
      <c r="I60" s="37"/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22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I61" s="37"/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22" s="21" customFormat="1" x14ac:dyDescent="0.25">
      <c r="B62" s="21" t="s">
        <v>142</v>
      </c>
      <c r="C62" s="37">
        <v>0.98610100000000001</v>
      </c>
      <c r="D62" s="37">
        <v>1.3899E-2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I62" s="37"/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22" s="21" customFormat="1" x14ac:dyDescent="0.25">
      <c r="B63" s="21" t="s">
        <v>143</v>
      </c>
      <c r="C63" s="37">
        <v>0.98610100000000001</v>
      </c>
      <c r="D63" s="37">
        <v>1.3899E-2</v>
      </c>
      <c r="E63" s="21">
        <v>0</v>
      </c>
      <c r="F63" s="21">
        <v>0.78364100000000003</v>
      </c>
      <c r="G63" s="21">
        <v>0.216359</v>
      </c>
      <c r="H63" s="20">
        <f>(H62+H64)/2</f>
        <v>1.4025000000000001E-2</v>
      </c>
      <c r="I63" s="37"/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22" s="21" customFormat="1" x14ac:dyDescent="0.25">
      <c r="B64" s="21" t="s">
        <v>395</v>
      </c>
      <c r="C64" s="37">
        <v>0.98610100000000001</v>
      </c>
      <c r="D64" s="37">
        <v>1.3899E-2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395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25" s="21" customFormat="1" x14ac:dyDescent="0.25">
      <c r="B65" s="21" t="s">
        <v>465</v>
      </c>
      <c r="C65" s="37">
        <v>0.98610100000000001</v>
      </c>
      <c r="D65" s="37">
        <v>1.3899E-2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465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25" s="21" customFormat="1" x14ac:dyDescent="0.25">
      <c r="B66" s="21" t="s">
        <v>327</v>
      </c>
      <c r="C66" s="37">
        <v>0.98610100000000001</v>
      </c>
      <c r="D66" s="37">
        <v>1.3899E-2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327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25" s="21" customFormat="1" x14ac:dyDescent="0.25">
      <c r="B67" s="21" t="s">
        <v>466</v>
      </c>
      <c r="C67" s="37">
        <v>0.98610100000000001</v>
      </c>
      <c r="D67" s="37">
        <v>1.3899E-2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466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25" s="21" customFormat="1" x14ac:dyDescent="0.25">
      <c r="B68" s="21" t="s">
        <v>467</v>
      </c>
      <c r="C68" s="37">
        <v>0.98610100000000001</v>
      </c>
      <c r="D68" s="37">
        <v>1.3899E-2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467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25" s="21" customFormat="1" x14ac:dyDescent="0.25">
      <c r="B69" s="21" t="s">
        <v>468</v>
      </c>
      <c r="C69" s="37">
        <v>0.98610100000000001</v>
      </c>
      <c r="D69" s="37">
        <v>1.3899E-2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468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25" s="21" customFormat="1" x14ac:dyDescent="0.25"/>
    <row r="71" spans="2:25" s="21" customFormat="1" x14ac:dyDescent="0.25">
      <c r="B71" s="39" t="s">
        <v>28</v>
      </c>
      <c r="C71" s="21" t="s">
        <v>218</v>
      </c>
      <c r="F71" s="21" t="s">
        <v>226</v>
      </c>
      <c r="K71" s="43" t="s">
        <v>1029</v>
      </c>
      <c r="L71" s="37" t="s">
        <v>225</v>
      </c>
      <c r="M71" s="37"/>
      <c r="N71" s="37"/>
      <c r="O71" s="37" t="s">
        <v>220</v>
      </c>
      <c r="P71" s="37"/>
      <c r="Q71" s="37"/>
      <c r="S71" s="43" t="s">
        <v>1027</v>
      </c>
      <c r="T71" s="37" t="s">
        <v>225</v>
      </c>
      <c r="U71" s="37"/>
      <c r="V71" s="37"/>
      <c r="W71" s="37" t="s">
        <v>220</v>
      </c>
      <c r="X71" s="37"/>
      <c r="Y71" s="37"/>
    </row>
    <row r="72" spans="2:25" s="21" customFormat="1" x14ac:dyDescent="0.25">
      <c r="B72" s="21" t="s">
        <v>249</v>
      </c>
      <c r="C72" s="21" t="s">
        <v>495</v>
      </c>
      <c r="D72" s="21" t="s">
        <v>496</v>
      </c>
      <c r="E72" s="21" t="s">
        <v>498</v>
      </c>
      <c r="F72" s="21" t="s">
        <v>495</v>
      </c>
      <c r="G72" s="21" t="s">
        <v>496</v>
      </c>
      <c r="H72" s="21" t="s">
        <v>498</v>
      </c>
      <c r="K72" s="37" t="s">
        <v>249</v>
      </c>
      <c r="L72" s="37" t="s">
        <v>495</v>
      </c>
      <c r="M72" s="37" t="s">
        <v>496</v>
      </c>
      <c r="N72" s="37" t="s">
        <v>498</v>
      </c>
      <c r="O72" s="37" t="s">
        <v>495</v>
      </c>
      <c r="P72" s="37" t="s">
        <v>496</v>
      </c>
      <c r="Q72" s="37" t="s">
        <v>498</v>
      </c>
      <c r="S72" s="37" t="s">
        <v>249</v>
      </c>
      <c r="T72" s="37" t="s">
        <v>495</v>
      </c>
      <c r="U72" s="37" t="s">
        <v>496</v>
      </c>
      <c r="V72" s="37" t="s">
        <v>498</v>
      </c>
      <c r="W72" s="37" t="s">
        <v>495</v>
      </c>
      <c r="X72" s="37" t="s">
        <v>496</v>
      </c>
      <c r="Y72" s="37" t="s">
        <v>498</v>
      </c>
    </row>
    <row r="73" spans="2:25" s="21" customFormat="1" x14ac:dyDescent="0.25">
      <c r="B73" s="21" t="s">
        <v>499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37" t="s">
        <v>499</v>
      </c>
      <c r="L73" s="37">
        <v>1.0000000000000001E-5</v>
      </c>
      <c r="M73" s="37">
        <v>1.0000000000000001E-5</v>
      </c>
      <c r="N73" s="37">
        <v>1.0000000000000001E-5</v>
      </c>
      <c r="O73" s="37">
        <v>1.0000000000000001E-5</v>
      </c>
      <c r="P73" s="37">
        <v>1.0000000000000001E-5</v>
      </c>
      <c r="Q73" s="37">
        <v>1.0000000000000001E-5</v>
      </c>
      <c r="S73" s="37" t="s">
        <v>499</v>
      </c>
      <c r="T73" s="37">
        <v>1.0000000000000001E-5</v>
      </c>
      <c r="U73" s="37">
        <v>1.0000000000000001E-5</v>
      </c>
      <c r="V73" s="37">
        <v>1.0000000000000001E-5</v>
      </c>
      <c r="W73" s="37">
        <v>1.0000000000000001E-5</v>
      </c>
      <c r="X73" s="37">
        <v>1.0000000000000001E-5</v>
      </c>
      <c r="Y73" s="37">
        <v>1.0000000000000001E-5</v>
      </c>
    </row>
    <row r="74" spans="2:25" s="21" customFormat="1" x14ac:dyDescent="0.25">
      <c r="B74" s="22" t="s">
        <v>463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463</v>
      </c>
      <c r="L74" s="37">
        <v>1.0000000000000001E-5</v>
      </c>
      <c r="M74" s="37">
        <v>1.0000000000000001E-5</v>
      </c>
      <c r="N74" s="37">
        <v>1.0000000000000001E-5</v>
      </c>
      <c r="O74" s="37">
        <v>1.0000000000000001E-5</v>
      </c>
      <c r="P74" s="37">
        <v>1.0000000000000001E-5</v>
      </c>
      <c r="Q74" s="37">
        <v>1.0000000000000001E-5</v>
      </c>
      <c r="S74" s="22" t="s">
        <v>463</v>
      </c>
      <c r="T74" s="37">
        <v>1.0000000000000001E-5</v>
      </c>
      <c r="U74" s="37">
        <v>1.0000000000000001E-5</v>
      </c>
      <c r="V74" s="37">
        <v>1.0000000000000001E-5</v>
      </c>
      <c r="W74" s="37">
        <v>1.0000000000000001E-5</v>
      </c>
      <c r="X74" s="37">
        <v>1.0000000000000001E-5</v>
      </c>
      <c r="Y74" s="37">
        <v>1.0000000000000001E-5</v>
      </c>
    </row>
    <row r="75" spans="2:25" s="21" customFormat="1" x14ac:dyDescent="0.25">
      <c r="B75" s="22" t="s">
        <v>341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341</v>
      </c>
      <c r="L75" s="37">
        <v>1.0000000000000001E-5</v>
      </c>
      <c r="M75" s="37">
        <v>1.0000000000000001E-5</v>
      </c>
      <c r="N75" s="37">
        <v>1.0000000000000001E-5</v>
      </c>
      <c r="O75" s="37">
        <v>1.0000000000000001E-5</v>
      </c>
      <c r="P75" s="37">
        <v>1.0000000000000001E-5</v>
      </c>
      <c r="Q75" s="37">
        <v>1.0000000000000001E-5</v>
      </c>
      <c r="S75" s="22" t="s">
        <v>341</v>
      </c>
      <c r="T75" s="37">
        <v>1.0000000000000001E-5</v>
      </c>
      <c r="U75" s="37">
        <v>1.0000000000000001E-5</v>
      </c>
      <c r="V75" s="37">
        <v>1.0000000000000001E-5</v>
      </c>
      <c r="W75" s="37">
        <v>1.0000000000000001E-5</v>
      </c>
      <c r="X75" s="37">
        <v>1.0000000000000001E-5</v>
      </c>
      <c r="Y75" s="37">
        <v>1.0000000000000001E-5</v>
      </c>
    </row>
    <row r="76" spans="2:25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37" t="s">
        <v>137</v>
      </c>
      <c r="L76" s="37">
        <v>0.25856800000000002</v>
      </c>
      <c r="M76" s="37">
        <v>2</v>
      </c>
      <c r="N76" s="37">
        <v>6</v>
      </c>
      <c r="O76" s="37">
        <v>0.22517599999999999</v>
      </c>
      <c r="P76" s="37">
        <v>2.1546289999999999</v>
      </c>
      <c r="Q76" s="37">
        <v>6.4129969999999998</v>
      </c>
      <c r="S76" s="37" t="s">
        <v>137</v>
      </c>
      <c r="T76" s="37">
        <v>0.25856800000000002</v>
      </c>
      <c r="U76" s="37">
        <v>2</v>
      </c>
      <c r="V76" s="37">
        <v>6</v>
      </c>
      <c r="W76" s="37">
        <v>0.22517599999999999</v>
      </c>
      <c r="X76" s="37">
        <v>2.1546289999999999</v>
      </c>
      <c r="Y76" s="37">
        <v>6.4129969999999998</v>
      </c>
    </row>
    <row r="77" spans="2:25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37" t="s">
        <v>138</v>
      </c>
      <c r="L77" s="37">
        <v>0.76683599999999996</v>
      </c>
      <c r="M77" s="37">
        <v>2.059053</v>
      </c>
      <c r="N77" s="37">
        <v>7</v>
      </c>
      <c r="O77" s="37">
        <v>0.67400099999999996</v>
      </c>
      <c r="P77" s="37">
        <v>2.173962</v>
      </c>
      <c r="Q77" s="37">
        <v>7.7805770000000001</v>
      </c>
      <c r="S77" s="37" t="s">
        <v>138</v>
      </c>
      <c r="T77" s="37">
        <v>0.76683599999999996</v>
      </c>
      <c r="U77" s="37">
        <v>2.059053</v>
      </c>
      <c r="V77" s="37">
        <v>7</v>
      </c>
      <c r="W77" s="37">
        <v>0.67400099999999996</v>
      </c>
      <c r="X77" s="37">
        <v>2.173962</v>
      </c>
      <c r="Y77" s="37">
        <v>7.7805770000000001</v>
      </c>
    </row>
    <row r="78" spans="2:25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37" t="s">
        <v>139</v>
      </c>
      <c r="L78" s="37">
        <v>0.88956500000000005</v>
      </c>
      <c r="M78" s="37">
        <v>2.129076</v>
      </c>
      <c r="N78" s="37">
        <v>5</v>
      </c>
      <c r="O78" s="37">
        <v>0.87036999999999998</v>
      </c>
      <c r="P78" s="37">
        <v>2.105747</v>
      </c>
      <c r="Q78" s="45">
        <f>19.478731 * 0.6</f>
        <v>11.687238599999999</v>
      </c>
      <c r="S78" s="37" t="s">
        <v>139</v>
      </c>
      <c r="T78" s="37">
        <v>0.88956500000000005</v>
      </c>
      <c r="U78" s="37">
        <v>2.129076</v>
      </c>
      <c r="V78" s="37">
        <v>5</v>
      </c>
      <c r="W78" s="37">
        <v>0.87036999999999998</v>
      </c>
      <c r="X78" s="37">
        <v>2.105747</v>
      </c>
      <c r="Y78" s="37">
        <v>19.478731</v>
      </c>
    </row>
    <row r="79" spans="2:25" s="21" customFormat="1" x14ac:dyDescent="0.25">
      <c r="B79" s="21" t="s">
        <v>140</v>
      </c>
      <c r="C79" s="29">
        <v>0.98374700000000004</v>
      </c>
      <c r="D79" s="21">
        <v>1.6253E-2</v>
      </c>
      <c r="E79" s="20">
        <v>4.6700000000000002E-4</v>
      </c>
      <c r="F79" s="21">
        <v>0.84771699999999994</v>
      </c>
      <c r="G79" s="21">
        <v>0.149064</v>
      </c>
      <c r="H79" s="21">
        <v>3.2200000000000002E-3</v>
      </c>
      <c r="K79" s="37" t="s">
        <v>140</v>
      </c>
      <c r="L79" s="37">
        <v>0.912547</v>
      </c>
      <c r="M79" s="37">
        <v>2.027717</v>
      </c>
      <c r="N79" s="20">
        <v>1</v>
      </c>
      <c r="O79" s="37">
        <v>0.93245599999999995</v>
      </c>
      <c r="P79" s="37">
        <v>2.1315270000000002</v>
      </c>
      <c r="Q79" s="45">
        <f>19.514182 * 0.6</f>
        <v>11.7085092</v>
      </c>
      <c r="S79" s="37" t="s">
        <v>140</v>
      </c>
      <c r="T79" s="37">
        <v>0.912547</v>
      </c>
      <c r="U79" s="37">
        <v>2.027717</v>
      </c>
      <c r="V79" s="20">
        <v>1</v>
      </c>
      <c r="W79" s="37">
        <v>0.93245599999999995</v>
      </c>
      <c r="X79" s="37">
        <v>2.1315270000000002</v>
      </c>
      <c r="Y79" s="37">
        <v>19.514182000000002</v>
      </c>
    </row>
    <row r="80" spans="2:25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37" t="s">
        <v>141</v>
      </c>
      <c r="L80" s="37">
        <v>0.84996300000000002</v>
      </c>
      <c r="M80" s="37">
        <v>2</v>
      </c>
      <c r="N80" s="45">
        <f>95*0.6</f>
        <v>57</v>
      </c>
      <c r="O80" s="37">
        <v>0.93322700000000003</v>
      </c>
      <c r="P80" s="37">
        <v>2.181549</v>
      </c>
      <c r="Q80" s="37">
        <v>5.6671909999999999</v>
      </c>
      <c r="S80" s="37" t="s">
        <v>141</v>
      </c>
      <c r="T80" s="37">
        <v>0.84996300000000002</v>
      </c>
      <c r="U80" s="37">
        <v>2</v>
      </c>
      <c r="V80" s="37">
        <v>95</v>
      </c>
      <c r="W80" s="37">
        <v>0.93322700000000003</v>
      </c>
      <c r="X80" s="37">
        <v>2.181549</v>
      </c>
      <c r="Y80" s="37">
        <v>5.6671909999999999</v>
      </c>
    </row>
    <row r="81" spans="1:25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37" t="s">
        <v>142</v>
      </c>
      <c r="L81" s="37">
        <v>0.80288000000000004</v>
      </c>
      <c r="M81" s="37">
        <v>2.0904959999999999</v>
      </c>
      <c r="N81" s="45">
        <f>50*0.6</f>
        <v>30</v>
      </c>
      <c r="O81" s="37">
        <v>0.94899599999999995</v>
      </c>
      <c r="P81" s="37">
        <v>2.0623269999999998</v>
      </c>
      <c r="Q81" s="45">
        <f xml:space="preserve"> 16.551753 * 0.6</f>
        <v>9.9310518000000005</v>
      </c>
      <c r="S81" s="37" t="s">
        <v>142</v>
      </c>
      <c r="T81" s="37">
        <v>0.80288000000000004</v>
      </c>
      <c r="U81" s="37">
        <v>2.0904959999999999</v>
      </c>
      <c r="V81" s="37">
        <v>50</v>
      </c>
      <c r="W81" s="37">
        <v>0.94899599999999995</v>
      </c>
      <c r="X81" s="37">
        <v>2.0623269999999998</v>
      </c>
      <c r="Y81" s="37">
        <v>16.551753000000001</v>
      </c>
    </row>
    <row r="82" spans="1:25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37" t="s">
        <v>143</v>
      </c>
      <c r="L82" s="37">
        <v>0.74267700000000003</v>
      </c>
      <c r="M82" s="37">
        <v>2.395661</v>
      </c>
      <c r="N82" s="20">
        <v>1</v>
      </c>
      <c r="O82" s="37">
        <v>0.93038500000000002</v>
      </c>
      <c r="P82" s="37">
        <v>2.1220140000000001</v>
      </c>
      <c r="Q82" s="45">
        <f xml:space="preserve"> 24.516099 * 0.6</f>
        <v>14.7096594</v>
      </c>
      <c r="S82" s="37" t="s">
        <v>143</v>
      </c>
      <c r="T82" s="37">
        <v>0.74267700000000003</v>
      </c>
      <c r="U82" s="37">
        <v>2.395661</v>
      </c>
      <c r="V82" s="20">
        <v>1</v>
      </c>
      <c r="W82" s="37">
        <v>0.93038500000000002</v>
      </c>
      <c r="X82" s="37">
        <v>2.1220140000000001</v>
      </c>
      <c r="Y82" s="37">
        <v>24.516099000000001</v>
      </c>
    </row>
    <row r="83" spans="1:25" s="21" customFormat="1" x14ac:dyDescent="0.25">
      <c r="B83" s="21" t="s">
        <v>395</v>
      </c>
      <c r="C83" s="29">
        <v>0.99118399999999995</v>
      </c>
      <c r="D83" s="37">
        <v>8.8160000000000009E-3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37" t="s">
        <v>395</v>
      </c>
      <c r="L83" s="37">
        <v>0.74267700000000003</v>
      </c>
      <c r="M83" s="37">
        <v>2.395661</v>
      </c>
      <c r="N83" s="20">
        <v>1</v>
      </c>
      <c r="O83" s="37">
        <v>0.91735900000000004</v>
      </c>
      <c r="P83" s="37">
        <v>2.1227469999999999</v>
      </c>
      <c r="Q83" s="37">
        <v>7.0254260000000004</v>
      </c>
      <c r="S83" s="37" t="s">
        <v>395</v>
      </c>
      <c r="T83" s="37">
        <v>0.74267700000000003</v>
      </c>
      <c r="U83" s="37">
        <v>2.395661</v>
      </c>
      <c r="V83" s="20">
        <v>1</v>
      </c>
      <c r="W83" s="37">
        <v>0.91735900000000004</v>
      </c>
      <c r="X83" s="37">
        <v>2.1227469999999999</v>
      </c>
      <c r="Y83" s="37">
        <v>7.0254260000000004</v>
      </c>
    </row>
    <row r="84" spans="1:25" s="21" customFormat="1" x14ac:dyDescent="0.25">
      <c r="B84" s="21" t="s">
        <v>465</v>
      </c>
      <c r="C84" s="29">
        <v>0.99118399999999995</v>
      </c>
      <c r="D84" s="37">
        <v>8.8160000000000009E-3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37" t="s">
        <v>465</v>
      </c>
      <c r="L84" s="37">
        <v>0.74267700000000003</v>
      </c>
      <c r="M84" s="37">
        <v>2.395661</v>
      </c>
      <c r="N84" s="20">
        <v>1</v>
      </c>
      <c r="O84" s="37">
        <v>0.91735900000000004</v>
      </c>
      <c r="P84" s="37">
        <v>2.1227469999999999</v>
      </c>
      <c r="Q84" s="37">
        <v>1</v>
      </c>
      <c r="S84" s="37" t="s">
        <v>465</v>
      </c>
      <c r="T84" s="37">
        <v>0.74267700000000003</v>
      </c>
      <c r="U84" s="37">
        <v>2.395661</v>
      </c>
      <c r="V84" s="20">
        <v>1</v>
      </c>
      <c r="W84" s="37">
        <v>0.91735900000000004</v>
      </c>
      <c r="X84" s="37">
        <v>2.1227469999999999</v>
      </c>
      <c r="Y84" s="37">
        <v>1</v>
      </c>
    </row>
    <row r="85" spans="1:25" s="21" customFormat="1" x14ac:dyDescent="0.25">
      <c r="B85" s="21" t="s">
        <v>327</v>
      </c>
      <c r="C85" s="29">
        <v>0.99118399999999995</v>
      </c>
      <c r="D85" s="37">
        <v>8.8160000000000009E-3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37" t="s">
        <v>327</v>
      </c>
      <c r="L85" s="37">
        <v>0.74267700000000003</v>
      </c>
      <c r="M85" s="37">
        <v>2.395661</v>
      </c>
      <c r="N85" s="20">
        <v>1</v>
      </c>
      <c r="O85" s="37">
        <v>0.91735900000000004</v>
      </c>
      <c r="P85" s="37">
        <v>2.1227469999999999</v>
      </c>
      <c r="Q85" s="37">
        <v>1</v>
      </c>
      <c r="S85" s="37" t="s">
        <v>327</v>
      </c>
      <c r="T85" s="37">
        <v>0.74267700000000003</v>
      </c>
      <c r="U85" s="37">
        <v>2.395661</v>
      </c>
      <c r="V85" s="20">
        <v>1</v>
      </c>
      <c r="W85" s="37">
        <v>0.91735900000000004</v>
      </c>
      <c r="X85" s="37">
        <v>2.1227469999999999</v>
      </c>
      <c r="Y85" s="37">
        <v>1</v>
      </c>
    </row>
    <row r="86" spans="1:25" s="21" customFormat="1" x14ac:dyDescent="0.25">
      <c r="B86" s="21" t="s">
        <v>466</v>
      </c>
      <c r="C86" s="29">
        <v>0.99118399999999995</v>
      </c>
      <c r="D86" s="37">
        <v>8.8160000000000009E-3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37" t="s">
        <v>466</v>
      </c>
      <c r="L86" s="37">
        <v>0.74267700000000003</v>
      </c>
      <c r="M86" s="37">
        <v>2.395661</v>
      </c>
      <c r="N86" s="20">
        <v>1</v>
      </c>
      <c r="O86" s="37">
        <v>0.91735900000000004</v>
      </c>
      <c r="P86" s="37">
        <v>2.1227469999999999</v>
      </c>
      <c r="Q86" s="37">
        <v>1</v>
      </c>
      <c r="S86" s="37" t="s">
        <v>466</v>
      </c>
      <c r="T86" s="37">
        <v>0.74267700000000003</v>
      </c>
      <c r="U86" s="37">
        <v>2.395661</v>
      </c>
      <c r="V86" s="20">
        <v>1</v>
      </c>
      <c r="W86" s="37">
        <v>0.91735900000000004</v>
      </c>
      <c r="X86" s="37">
        <v>2.1227469999999999</v>
      </c>
      <c r="Y86" s="37">
        <v>1</v>
      </c>
    </row>
    <row r="87" spans="1:25" s="21" customFormat="1" x14ac:dyDescent="0.25">
      <c r="B87" s="21" t="s">
        <v>467</v>
      </c>
      <c r="C87" s="29">
        <v>0.99118399999999995</v>
      </c>
      <c r="D87" s="37">
        <v>8.8160000000000009E-3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37" t="s">
        <v>467</v>
      </c>
      <c r="L87" s="37">
        <v>0.74267700000000003</v>
      </c>
      <c r="M87" s="37">
        <v>2.395661</v>
      </c>
      <c r="N87" s="20">
        <v>1</v>
      </c>
      <c r="O87" s="37">
        <v>0.91735900000000004</v>
      </c>
      <c r="P87" s="37">
        <v>2.1227469999999999</v>
      </c>
      <c r="Q87" s="37">
        <v>1</v>
      </c>
      <c r="S87" s="37" t="s">
        <v>467</v>
      </c>
      <c r="T87" s="37">
        <v>0.74267700000000003</v>
      </c>
      <c r="U87" s="37">
        <v>2.395661</v>
      </c>
      <c r="V87" s="20">
        <v>1</v>
      </c>
      <c r="W87" s="37">
        <v>0.91735900000000004</v>
      </c>
      <c r="X87" s="37">
        <v>2.1227469999999999</v>
      </c>
      <c r="Y87" s="37">
        <v>1</v>
      </c>
    </row>
    <row r="88" spans="1:25" s="21" customFormat="1" x14ac:dyDescent="0.25">
      <c r="B88" s="21" t="s">
        <v>468</v>
      </c>
      <c r="C88" s="29">
        <v>0.99118399999999995</v>
      </c>
      <c r="D88" s="37">
        <v>8.8160000000000009E-3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37" t="s">
        <v>468</v>
      </c>
      <c r="L88" s="37">
        <v>0.74267700000000003</v>
      </c>
      <c r="M88" s="37">
        <v>2.395661</v>
      </c>
      <c r="N88" s="20">
        <v>1</v>
      </c>
      <c r="O88" s="37">
        <v>0.91735900000000004</v>
      </c>
      <c r="P88" s="37">
        <v>2.1227469999999999</v>
      </c>
      <c r="Q88" s="37">
        <v>1</v>
      </c>
      <c r="S88" s="37" t="s">
        <v>468</v>
      </c>
      <c r="T88" s="37">
        <v>0.74267700000000003</v>
      </c>
      <c r="U88" s="37">
        <v>2.395661</v>
      </c>
      <c r="V88" s="20">
        <v>1</v>
      </c>
      <c r="W88" s="37">
        <v>0.91735900000000004</v>
      </c>
      <c r="X88" s="37">
        <v>2.1227469999999999</v>
      </c>
      <c r="Y88" s="37">
        <v>1</v>
      </c>
    </row>
    <row r="89" spans="1:25" s="21" customFormat="1" x14ac:dyDescent="0.25">
      <c r="B89" s="20" t="s">
        <v>715</v>
      </c>
      <c r="K89" s="45" t="s">
        <v>1030</v>
      </c>
    </row>
    <row r="90" spans="1:25" x14ac:dyDescent="0.25">
      <c r="A90" s="2" t="s">
        <v>246</v>
      </c>
      <c r="F90" s="41"/>
    </row>
    <row r="92" spans="1:25" x14ac:dyDescent="0.25">
      <c r="A92" t="s">
        <v>237</v>
      </c>
      <c r="B92" t="s">
        <v>238</v>
      </c>
      <c r="G92">
        <f>E80+E78</f>
        <v>9.3400000000000004E-4</v>
      </c>
    </row>
    <row r="93" spans="1:25" x14ac:dyDescent="0.25">
      <c r="B93" t="s">
        <v>239</v>
      </c>
      <c r="C93" t="s">
        <v>245</v>
      </c>
      <c r="D93" t="s">
        <v>225</v>
      </c>
      <c r="E93" t="s">
        <v>220</v>
      </c>
      <c r="G93">
        <f>G92/2</f>
        <v>4.6700000000000002E-4</v>
      </c>
    </row>
    <row r="94" spans="1:25" x14ac:dyDescent="0.25">
      <c r="B94" t="s">
        <v>240</v>
      </c>
      <c r="C94">
        <v>1993</v>
      </c>
      <c r="D94">
        <v>16.899999999999999</v>
      </c>
      <c r="E94">
        <v>16.7</v>
      </c>
    </row>
    <row r="95" spans="1:25" x14ac:dyDescent="0.25">
      <c r="B95" t="s">
        <v>241</v>
      </c>
      <c r="C95">
        <v>1998</v>
      </c>
      <c r="D95">
        <v>16.7</v>
      </c>
      <c r="E95">
        <v>16.8</v>
      </c>
    </row>
    <row r="96" spans="1:25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405</v>
      </c>
    </row>
    <row r="101" spans="1:5" x14ac:dyDescent="0.25">
      <c r="B101" t="s">
        <v>402</v>
      </c>
    </row>
    <row r="102" spans="1:5" x14ac:dyDescent="0.25">
      <c r="B102" t="s">
        <v>249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403</v>
      </c>
    </row>
    <row r="118" spans="2:13" x14ac:dyDescent="0.25">
      <c r="B118" t="s">
        <v>404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411</v>
      </c>
      <c r="G123" t="s">
        <v>413</v>
      </c>
    </row>
    <row r="124" spans="2:13" x14ac:dyDescent="0.25">
      <c r="B124" t="s">
        <v>412</v>
      </c>
      <c r="C124" t="s">
        <v>218</v>
      </c>
      <c r="D124" t="s">
        <v>220</v>
      </c>
      <c r="G124" t="s">
        <v>412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495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496</v>
      </c>
      <c r="L126">
        <f>I127</f>
        <v>9.9</v>
      </c>
      <c r="M126">
        <f>H127</f>
        <v>1.7</v>
      </c>
    </row>
    <row r="127" spans="2:13" x14ac:dyDescent="0.25">
      <c r="B127" s="15" t="s">
        <v>406</v>
      </c>
      <c r="C127">
        <v>36.1</v>
      </c>
      <c r="D127">
        <v>24.7</v>
      </c>
      <c r="G127" s="15" t="s">
        <v>414</v>
      </c>
      <c r="H127">
        <v>1.7</v>
      </c>
      <c r="I127">
        <v>9.9</v>
      </c>
      <c r="K127" t="s">
        <v>497</v>
      </c>
      <c r="L127">
        <f>I128+I129</f>
        <v>5.3</v>
      </c>
      <c r="M127">
        <f>H128+H129</f>
        <v>0.8</v>
      </c>
    </row>
    <row r="128" spans="2:13" x14ac:dyDescent="0.25">
      <c r="B128" s="15" t="s">
        <v>407</v>
      </c>
      <c r="C128">
        <v>7.8</v>
      </c>
      <c r="D128">
        <v>16.100000000000001</v>
      </c>
      <c r="G128" s="15" t="s">
        <v>415</v>
      </c>
      <c r="H128">
        <v>0.5</v>
      </c>
      <c r="I128">
        <v>4.3</v>
      </c>
    </row>
    <row r="129" spans="1:9" x14ac:dyDescent="0.25">
      <c r="B129" s="15" t="s">
        <v>408</v>
      </c>
      <c r="C129">
        <v>1.5</v>
      </c>
      <c r="D129">
        <v>8.6999999999999993</v>
      </c>
      <c r="G129" s="15" t="s">
        <v>410</v>
      </c>
      <c r="H129">
        <v>0.3</v>
      </c>
      <c r="I129">
        <v>1</v>
      </c>
    </row>
    <row r="130" spans="1:9" x14ac:dyDescent="0.25">
      <c r="B130" s="15" t="s">
        <v>409</v>
      </c>
      <c r="C130">
        <v>1</v>
      </c>
      <c r="D130">
        <v>14.9</v>
      </c>
    </row>
    <row r="131" spans="1:9" x14ac:dyDescent="0.25">
      <c r="B131" s="15" t="s">
        <v>410</v>
      </c>
      <c r="C131">
        <v>3.7</v>
      </c>
      <c r="D131">
        <v>8.6999999999999993</v>
      </c>
    </row>
    <row r="133" spans="1:9" x14ac:dyDescent="0.25">
      <c r="B133" s="15" t="s">
        <v>419</v>
      </c>
    </row>
    <row r="134" spans="1:9" x14ac:dyDescent="0.25">
      <c r="B134" s="22" t="s">
        <v>153</v>
      </c>
      <c r="C134" t="s">
        <v>218</v>
      </c>
      <c r="D134" t="s">
        <v>220</v>
      </c>
      <c r="F134" t="s">
        <v>158</v>
      </c>
      <c r="G134" t="s">
        <v>218</v>
      </c>
      <c r="H134" t="s">
        <v>226</v>
      </c>
      <c r="I134" t="s">
        <v>144</v>
      </c>
    </row>
    <row r="135" spans="1:9" x14ac:dyDescent="0.25">
      <c r="B135" s="15" t="s">
        <v>416</v>
      </c>
      <c r="C135">
        <v>3.8</v>
      </c>
      <c r="D135">
        <v>5.2</v>
      </c>
      <c r="G135" s="13">
        <v>0.1</v>
      </c>
      <c r="H135" s="13">
        <v>0.23</v>
      </c>
      <c r="I135" s="13">
        <v>0.16</v>
      </c>
    </row>
    <row r="136" spans="1:9" x14ac:dyDescent="0.25">
      <c r="B136" s="15" t="s">
        <v>417</v>
      </c>
      <c r="C136">
        <v>31.4</v>
      </c>
      <c r="D136">
        <v>44.7</v>
      </c>
    </row>
    <row r="137" spans="1:9" x14ac:dyDescent="0.25">
      <c r="B137" s="15" t="s">
        <v>418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470</v>
      </c>
      <c r="B140" s="15"/>
    </row>
    <row r="141" spans="1:9" x14ac:dyDescent="0.25">
      <c r="B141" s="22" t="s">
        <v>471</v>
      </c>
    </row>
    <row r="142" spans="1:9" x14ac:dyDescent="0.25">
      <c r="B142" s="22" t="s">
        <v>249</v>
      </c>
      <c r="C142" t="s">
        <v>473</v>
      </c>
      <c r="D142" t="s">
        <v>472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s="2" t="s">
        <v>531</v>
      </c>
      <c r="B153" s="36"/>
      <c r="C153" s="36"/>
      <c r="D153" s="36"/>
    </row>
    <row r="154" spans="1:4" x14ac:dyDescent="0.25">
      <c r="A154" s="36" t="s">
        <v>532</v>
      </c>
      <c r="B154" s="36"/>
      <c r="C154" s="36"/>
      <c r="D154" s="36"/>
    </row>
    <row r="155" spans="1:4" x14ac:dyDescent="0.25">
      <c r="A155" s="36" t="s">
        <v>528</v>
      </c>
      <c r="B155" s="36"/>
      <c r="C155" s="36"/>
      <c r="D155" s="36"/>
    </row>
    <row r="156" spans="1:4" x14ac:dyDescent="0.25">
      <c r="A156" s="36" t="s">
        <v>505</v>
      </c>
      <c r="B156" s="36" t="s">
        <v>529</v>
      </c>
      <c r="C156" s="36" t="s">
        <v>530</v>
      </c>
      <c r="D156" s="36"/>
    </row>
    <row r="157" spans="1:4" x14ac:dyDescent="0.25">
      <c r="A157" s="36">
        <v>1985</v>
      </c>
      <c r="B157" s="36">
        <v>0.3</v>
      </c>
      <c r="C157" s="36">
        <v>0.3</v>
      </c>
      <c r="D157" s="36"/>
    </row>
    <row r="158" spans="1:4" x14ac:dyDescent="0.25">
      <c r="A158" s="36">
        <v>1990</v>
      </c>
      <c r="B158" s="36">
        <v>0.4</v>
      </c>
      <c r="C158" s="36">
        <v>0.4</v>
      </c>
      <c r="D158" s="36"/>
    </row>
    <row r="159" spans="1:4" x14ac:dyDescent="0.25">
      <c r="A159" s="36">
        <v>2000</v>
      </c>
      <c r="B159" s="36">
        <v>0.1</v>
      </c>
      <c r="C159" s="36">
        <v>0.1</v>
      </c>
      <c r="D159" s="36"/>
    </row>
    <row r="162" spans="1:15" x14ac:dyDescent="0.25">
      <c r="A162" s="2" t="s">
        <v>618</v>
      </c>
    </row>
    <row r="163" spans="1:15" x14ac:dyDescent="0.25">
      <c r="A163" s="36" t="s">
        <v>619</v>
      </c>
      <c r="B163" s="36"/>
      <c r="C163" s="36"/>
      <c r="D163" s="36"/>
      <c r="E163" s="36"/>
      <c r="F163" s="36"/>
      <c r="J163" s="37" t="s">
        <v>616</v>
      </c>
      <c r="K163" s="37"/>
      <c r="L163" s="37"/>
      <c r="M163" s="37"/>
      <c r="N163" s="37"/>
      <c r="O163" s="37"/>
    </row>
    <row r="164" spans="1:15" x14ac:dyDescent="0.25">
      <c r="A164" s="36" t="s">
        <v>602</v>
      </c>
      <c r="B164" s="36"/>
      <c r="C164" s="36"/>
      <c r="D164" s="36"/>
      <c r="E164" s="36"/>
      <c r="F164" s="36"/>
      <c r="J164" s="37" t="s">
        <v>602</v>
      </c>
      <c r="K164" s="37"/>
      <c r="L164" s="37"/>
      <c r="M164" s="37"/>
      <c r="N164" s="37"/>
      <c r="O164" s="37"/>
    </row>
    <row r="165" spans="1:15" x14ac:dyDescent="0.25">
      <c r="A165" s="36" t="s">
        <v>603</v>
      </c>
      <c r="B165" s="36"/>
      <c r="C165" s="36"/>
      <c r="D165" s="36"/>
      <c r="E165" s="36"/>
      <c r="F165" s="36"/>
      <c r="J165" s="37" t="s">
        <v>603</v>
      </c>
      <c r="K165" s="37"/>
      <c r="L165" s="37"/>
      <c r="M165" s="37"/>
      <c r="N165" s="37"/>
      <c r="O165" s="37"/>
    </row>
    <row r="166" spans="1:15" x14ac:dyDescent="0.25">
      <c r="A166" s="36" t="s">
        <v>150</v>
      </c>
      <c r="B166" s="36"/>
      <c r="C166" s="36"/>
      <c r="D166" s="36" t="s">
        <v>604</v>
      </c>
      <c r="E166" s="36"/>
      <c r="F166" s="36"/>
      <c r="J166" s="37" t="s">
        <v>150</v>
      </c>
      <c r="K166" s="37"/>
      <c r="L166" s="37"/>
      <c r="M166" s="37" t="s">
        <v>604</v>
      </c>
      <c r="N166" s="37"/>
      <c r="O166" s="37"/>
    </row>
    <row r="167" spans="1:15" x14ac:dyDescent="0.25">
      <c r="A167" s="36"/>
      <c r="B167" s="36"/>
      <c r="C167" s="36" t="s">
        <v>605</v>
      </c>
      <c r="D167" s="36" t="s">
        <v>606</v>
      </c>
      <c r="E167" s="36" t="s">
        <v>496</v>
      </c>
      <c r="F167" s="36" t="s">
        <v>497</v>
      </c>
      <c r="J167" s="37"/>
      <c r="K167" s="37"/>
      <c r="L167" s="37" t="s">
        <v>605</v>
      </c>
      <c r="M167" s="37" t="s">
        <v>606</v>
      </c>
      <c r="N167" s="37" t="s">
        <v>496</v>
      </c>
      <c r="O167" s="37" t="s">
        <v>497</v>
      </c>
    </row>
    <row r="168" spans="1:15" x14ac:dyDescent="0.25">
      <c r="A168" s="36" t="s">
        <v>607</v>
      </c>
      <c r="B168" s="36"/>
      <c r="C168" s="36"/>
      <c r="D168" s="36">
        <v>0</v>
      </c>
      <c r="E168" s="36">
        <v>0</v>
      </c>
      <c r="F168" s="36">
        <v>0</v>
      </c>
      <c r="J168" s="37" t="s">
        <v>607</v>
      </c>
      <c r="K168" s="37"/>
      <c r="L168" s="37"/>
      <c r="M168" s="37">
        <v>0</v>
      </c>
      <c r="N168" s="37">
        <v>0</v>
      </c>
      <c r="O168" s="37">
        <v>0</v>
      </c>
    </row>
    <row r="169" spans="1:15" x14ac:dyDescent="0.25">
      <c r="A169" s="35">
        <v>43594</v>
      </c>
      <c r="B169" s="36"/>
      <c r="C169" s="36"/>
      <c r="D169" s="36">
        <v>0</v>
      </c>
      <c r="E169" s="36">
        <v>0</v>
      </c>
      <c r="F169" s="36">
        <v>0</v>
      </c>
      <c r="J169" s="35">
        <v>43594</v>
      </c>
      <c r="K169" s="37"/>
      <c r="L169" s="37"/>
      <c r="M169" s="37">
        <v>0</v>
      </c>
      <c r="N169" s="37">
        <v>0</v>
      </c>
      <c r="O169" s="37">
        <v>0</v>
      </c>
    </row>
    <row r="170" spans="1:15" x14ac:dyDescent="0.25">
      <c r="A170" s="35">
        <v>43752</v>
      </c>
      <c r="B170" s="36"/>
      <c r="C170" s="36">
        <v>0.05</v>
      </c>
      <c r="D170" s="36">
        <f>0.8*M170</f>
        <v>2.4960000000000004</v>
      </c>
      <c r="E170" s="36">
        <f>0.8*N170</f>
        <v>1.4976000000000003</v>
      </c>
      <c r="F170" s="36">
        <f>0.8*O170</f>
        <v>0.89856000000000003</v>
      </c>
      <c r="J170" s="35">
        <v>43752</v>
      </c>
      <c r="K170" s="37"/>
      <c r="L170" s="37">
        <v>0.05</v>
      </c>
      <c r="M170" s="37">
        <v>3.12</v>
      </c>
      <c r="N170" s="37">
        <v>1.8720000000000001</v>
      </c>
      <c r="O170" s="37">
        <v>1.1232</v>
      </c>
    </row>
    <row r="171" spans="1:15" x14ac:dyDescent="0.25">
      <c r="A171" s="36" t="s">
        <v>314</v>
      </c>
      <c r="B171" s="36"/>
      <c r="C171" s="36">
        <v>0.1</v>
      </c>
      <c r="D171" s="37">
        <f t="shared" ref="D171:D183" si="0">0.8*M171</f>
        <v>12.48</v>
      </c>
      <c r="E171" s="37">
        <f t="shared" ref="E171:E183" si="1">0.8*N171</f>
        <v>7.4879999999999995</v>
      </c>
      <c r="F171" s="37">
        <f t="shared" ref="F171:F183" si="2">0.8*O171</f>
        <v>4.4927999999999999</v>
      </c>
      <c r="J171" s="37" t="s">
        <v>314</v>
      </c>
      <c r="K171" s="37"/>
      <c r="L171" s="37">
        <v>0.1</v>
      </c>
      <c r="M171" s="37">
        <v>15.6</v>
      </c>
      <c r="N171" s="37">
        <v>9.36</v>
      </c>
      <c r="O171" s="37">
        <v>5.6159999999999997</v>
      </c>
    </row>
    <row r="172" spans="1:15" x14ac:dyDescent="0.25">
      <c r="A172" s="36" t="s">
        <v>608</v>
      </c>
      <c r="B172" s="36">
        <v>1</v>
      </c>
      <c r="C172" s="36">
        <v>0.4</v>
      </c>
      <c r="D172" s="37">
        <f t="shared" si="0"/>
        <v>49.92</v>
      </c>
      <c r="E172" s="37">
        <f t="shared" si="1"/>
        <v>29.951999999999998</v>
      </c>
      <c r="F172" s="37">
        <f t="shared" si="2"/>
        <v>17.9712</v>
      </c>
      <c r="J172" s="37" t="s">
        <v>608</v>
      </c>
      <c r="K172" s="37">
        <v>1</v>
      </c>
      <c r="L172" s="37">
        <v>0.4</v>
      </c>
      <c r="M172" s="37">
        <v>62.4</v>
      </c>
      <c r="N172" s="37">
        <v>37.44</v>
      </c>
      <c r="O172" s="37">
        <v>22.463999999999999</v>
      </c>
    </row>
    <row r="173" spans="1:15" x14ac:dyDescent="0.25">
      <c r="A173" s="36" t="s">
        <v>139</v>
      </c>
      <c r="B173" s="36">
        <v>5</v>
      </c>
      <c r="C173" s="36"/>
      <c r="D173" s="37">
        <f t="shared" si="0"/>
        <v>124.80000000000001</v>
      </c>
      <c r="E173" s="37">
        <f t="shared" si="1"/>
        <v>74.88</v>
      </c>
      <c r="F173" s="37">
        <f t="shared" si="2"/>
        <v>44.927999999999997</v>
      </c>
      <c r="J173" s="37" t="s">
        <v>139</v>
      </c>
      <c r="K173" s="37">
        <v>5</v>
      </c>
      <c r="L173" s="37"/>
      <c r="M173" s="37">
        <v>156</v>
      </c>
      <c r="N173" s="37">
        <v>93.6</v>
      </c>
      <c r="O173" s="37">
        <v>56.16</v>
      </c>
    </row>
    <row r="174" spans="1:15" x14ac:dyDescent="0.25">
      <c r="A174" s="36" t="s">
        <v>317</v>
      </c>
      <c r="B174" s="36">
        <v>10</v>
      </c>
      <c r="C174" s="36">
        <v>0.70710678100000002</v>
      </c>
      <c r="D174" s="37">
        <f t="shared" si="0"/>
        <v>88.24692632</v>
      </c>
      <c r="E174" s="37">
        <f t="shared" si="1"/>
        <v>52.948155776</v>
      </c>
      <c r="F174" s="37">
        <f t="shared" si="2"/>
        <v>31.768893464000001</v>
      </c>
      <c r="J174" s="37" t="s">
        <v>317</v>
      </c>
      <c r="K174" s="37">
        <v>10</v>
      </c>
      <c r="L174" s="37">
        <v>0.70710678100000002</v>
      </c>
      <c r="M174" s="37">
        <v>110.3086579</v>
      </c>
      <c r="N174" s="37">
        <v>66.185194719999998</v>
      </c>
      <c r="O174" s="37">
        <v>39.711116830000002</v>
      </c>
    </row>
    <row r="175" spans="1:15" x14ac:dyDescent="0.25">
      <c r="A175" s="36" t="s">
        <v>318</v>
      </c>
      <c r="B175" s="36">
        <v>15</v>
      </c>
      <c r="C175" s="36">
        <v>0.5</v>
      </c>
      <c r="D175" s="37">
        <f t="shared" si="0"/>
        <v>62.400000000000006</v>
      </c>
      <c r="E175" s="37">
        <f t="shared" si="1"/>
        <v>37.44</v>
      </c>
      <c r="F175" s="37">
        <f t="shared" si="2"/>
        <v>22.463999999999999</v>
      </c>
      <c r="J175" s="37" t="s">
        <v>318</v>
      </c>
      <c r="K175" s="37">
        <v>15</v>
      </c>
      <c r="L175" s="37">
        <v>0.5</v>
      </c>
      <c r="M175" s="37">
        <v>78</v>
      </c>
      <c r="N175" s="37">
        <v>46.8</v>
      </c>
      <c r="O175" s="37">
        <v>28.08</v>
      </c>
    </row>
    <row r="176" spans="1:15" x14ac:dyDescent="0.25">
      <c r="A176" s="36" t="s">
        <v>319</v>
      </c>
      <c r="B176" s="36">
        <v>20</v>
      </c>
      <c r="C176" s="36">
        <v>0.35355339099999999</v>
      </c>
      <c r="D176" s="37">
        <f t="shared" si="0"/>
        <v>44.123463143999999</v>
      </c>
      <c r="E176" s="37">
        <f t="shared" si="1"/>
        <v>26.474077888</v>
      </c>
      <c r="F176" s="37">
        <f t="shared" si="2"/>
        <v>15.884446736000001</v>
      </c>
      <c r="J176" s="37" t="s">
        <v>319</v>
      </c>
      <c r="K176" s="37">
        <v>20</v>
      </c>
      <c r="L176" s="37">
        <v>0.35355339099999999</v>
      </c>
      <c r="M176" s="37">
        <v>55.154328929999998</v>
      </c>
      <c r="N176" s="37">
        <v>33.092597359999999</v>
      </c>
      <c r="O176" s="37">
        <v>19.855558420000001</v>
      </c>
    </row>
    <row r="177" spans="1:15" x14ac:dyDescent="0.25">
      <c r="A177" s="36" t="s">
        <v>320</v>
      </c>
      <c r="B177" s="36">
        <v>25</v>
      </c>
      <c r="C177" s="36">
        <v>0.25</v>
      </c>
      <c r="D177" s="37">
        <f t="shared" si="0"/>
        <v>31.200000000000003</v>
      </c>
      <c r="E177" s="37">
        <f t="shared" si="1"/>
        <v>18.72</v>
      </c>
      <c r="F177" s="37">
        <f t="shared" si="2"/>
        <v>11.231999999999999</v>
      </c>
      <c r="J177" s="37" t="s">
        <v>320</v>
      </c>
      <c r="K177" s="37">
        <v>25</v>
      </c>
      <c r="L177" s="37">
        <v>0.25</v>
      </c>
      <c r="M177" s="37">
        <v>39</v>
      </c>
      <c r="N177" s="37">
        <v>23.4</v>
      </c>
      <c r="O177" s="37">
        <v>14.04</v>
      </c>
    </row>
    <row r="178" spans="1:15" x14ac:dyDescent="0.25">
      <c r="A178" s="36" t="s">
        <v>609</v>
      </c>
      <c r="B178" s="36">
        <v>30</v>
      </c>
      <c r="C178" s="36">
        <v>0.17677669500000001</v>
      </c>
      <c r="D178" s="37">
        <f t="shared" si="0"/>
        <v>22.061731576</v>
      </c>
      <c r="E178" s="37">
        <f t="shared" si="1"/>
        <v>13.237038944</v>
      </c>
      <c r="F178" s="37">
        <f t="shared" si="2"/>
        <v>7.9422233664000004</v>
      </c>
      <c r="J178" s="37" t="s">
        <v>609</v>
      </c>
      <c r="K178" s="37">
        <v>30</v>
      </c>
      <c r="L178" s="37">
        <v>0.17677669500000001</v>
      </c>
      <c r="M178" s="37">
        <v>27.57716447</v>
      </c>
      <c r="N178" s="37">
        <v>16.54629868</v>
      </c>
      <c r="O178" s="37">
        <v>9.9277792080000005</v>
      </c>
    </row>
    <row r="179" spans="1:15" x14ac:dyDescent="0.25">
      <c r="A179" s="36" t="s">
        <v>322</v>
      </c>
      <c r="B179" s="36">
        <v>35</v>
      </c>
      <c r="C179" s="36">
        <v>0.125</v>
      </c>
      <c r="D179" s="37">
        <f t="shared" si="0"/>
        <v>15.600000000000001</v>
      </c>
      <c r="E179" s="37">
        <f t="shared" si="1"/>
        <v>9.36</v>
      </c>
      <c r="F179" s="37">
        <f t="shared" si="2"/>
        <v>5.6159999999999997</v>
      </c>
      <c r="J179" s="37" t="s">
        <v>322</v>
      </c>
      <c r="K179" s="37">
        <v>35</v>
      </c>
      <c r="L179" s="37">
        <v>0.125</v>
      </c>
      <c r="M179" s="37">
        <v>19.5</v>
      </c>
      <c r="N179" s="37">
        <v>11.7</v>
      </c>
      <c r="O179" s="37">
        <v>7.02</v>
      </c>
    </row>
    <row r="180" spans="1:15" x14ac:dyDescent="0.25">
      <c r="A180" s="36" t="s">
        <v>327</v>
      </c>
      <c r="B180" s="36">
        <v>40</v>
      </c>
      <c r="C180" s="36">
        <v>8.8388348000000005E-2</v>
      </c>
      <c r="D180" s="37">
        <f t="shared" si="0"/>
        <v>11.030865784</v>
      </c>
      <c r="E180" s="37">
        <f t="shared" si="1"/>
        <v>6.618519472</v>
      </c>
      <c r="F180" s="37">
        <f t="shared" si="2"/>
        <v>3.9711116832000002</v>
      </c>
      <c r="J180" s="37" t="s">
        <v>327</v>
      </c>
      <c r="K180" s="37">
        <v>40</v>
      </c>
      <c r="L180" s="37">
        <v>8.8388348000000005E-2</v>
      </c>
      <c r="M180" s="37">
        <v>13.788582229999999</v>
      </c>
      <c r="N180" s="37">
        <v>8.2731493399999998</v>
      </c>
      <c r="O180" s="37">
        <v>4.9638896040000002</v>
      </c>
    </row>
    <row r="181" spans="1:15" x14ac:dyDescent="0.25">
      <c r="A181" s="36" t="s">
        <v>466</v>
      </c>
      <c r="B181" s="36">
        <v>45</v>
      </c>
      <c r="C181" s="36">
        <v>6.25E-2</v>
      </c>
      <c r="D181" s="37">
        <f t="shared" si="0"/>
        <v>7.8000000000000007</v>
      </c>
      <c r="E181" s="37">
        <f t="shared" si="1"/>
        <v>4.68</v>
      </c>
      <c r="F181" s="37">
        <f t="shared" si="2"/>
        <v>2.8079999999999998</v>
      </c>
      <c r="J181" s="37" t="s">
        <v>466</v>
      </c>
      <c r="K181" s="37">
        <v>45</v>
      </c>
      <c r="L181" s="37">
        <v>6.25E-2</v>
      </c>
      <c r="M181" s="37">
        <v>9.75</v>
      </c>
      <c r="N181" s="37">
        <v>5.85</v>
      </c>
      <c r="O181" s="37">
        <v>3.51</v>
      </c>
    </row>
    <row r="182" spans="1:15" x14ac:dyDescent="0.25">
      <c r="A182" s="36" t="s">
        <v>467</v>
      </c>
      <c r="B182" s="36">
        <v>50</v>
      </c>
      <c r="C182" s="36">
        <v>4.4194174000000003E-2</v>
      </c>
      <c r="D182" s="37">
        <f t="shared" si="0"/>
        <v>5.5154328935999999</v>
      </c>
      <c r="E182" s="37">
        <f t="shared" si="1"/>
        <v>3.309259736</v>
      </c>
      <c r="F182" s="37">
        <f t="shared" si="2"/>
        <v>1.9855558416000001</v>
      </c>
      <c r="J182" s="37" t="s">
        <v>467</v>
      </c>
      <c r="K182" s="37">
        <v>50</v>
      </c>
      <c r="L182" s="37">
        <v>4.4194174000000003E-2</v>
      </c>
      <c r="M182" s="37">
        <v>6.8942911169999999</v>
      </c>
      <c r="N182" s="37">
        <v>4.1365746699999999</v>
      </c>
      <c r="O182" s="37">
        <v>2.4819448020000001</v>
      </c>
    </row>
    <row r="183" spans="1:15" x14ac:dyDescent="0.25">
      <c r="A183" s="36" t="s">
        <v>468</v>
      </c>
      <c r="B183" s="36">
        <v>55</v>
      </c>
      <c r="C183" s="36">
        <v>3.125E-2</v>
      </c>
      <c r="D183" s="37">
        <f t="shared" si="0"/>
        <v>3.9000000000000004</v>
      </c>
      <c r="E183" s="37">
        <f t="shared" si="1"/>
        <v>2.34</v>
      </c>
      <c r="F183" s="37">
        <f t="shared" si="2"/>
        <v>1.4039999999999999</v>
      </c>
      <c r="J183" s="37" t="s">
        <v>468</v>
      </c>
      <c r="K183" s="37">
        <v>55</v>
      </c>
      <c r="L183" s="37">
        <v>3.125E-2</v>
      </c>
      <c r="M183" s="37">
        <v>4.875</v>
      </c>
      <c r="N183" s="37">
        <v>2.9249999999999998</v>
      </c>
      <c r="O183" s="37">
        <v>1.7549999999999999</v>
      </c>
    </row>
    <row r="184" spans="1:15" x14ac:dyDescent="0.25">
      <c r="A184" s="36"/>
      <c r="B184" s="36"/>
      <c r="C184" s="36"/>
      <c r="D184" s="36"/>
      <c r="E184" s="36"/>
      <c r="F184" s="36"/>
      <c r="J184" s="37"/>
      <c r="K184" s="37"/>
      <c r="L184" s="37"/>
      <c r="M184" s="37"/>
      <c r="N184" s="37"/>
      <c r="O184" s="37"/>
    </row>
    <row r="185" spans="1:15" x14ac:dyDescent="0.25">
      <c r="A185" s="36" t="s">
        <v>610</v>
      </c>
      <c r="B185" s="36"/>
      <c r="C185" s="36"/>
      <c r="D185" s="36"/>
      <c r="E185" s="36"/>
      <c r="F185" s="36"/>
      <c r="J185" s="37" t="s">
        <v>610</v>
      </c>
      <c r="K185" s="37"/>
      <c r="L185" s="37"/>
      <c r="M185" s="37"/>
      <c r="N185" s="37"/>
      <c r="O185" s="37"/>
    </row>
    <row r="186" spans="1:15" x14ac:dyDescent="0.25">
      <c r="A186" s="36" t="s">
        <v>611</v>
      </c>
      <c r="B186" s="36"/>
      <c r="C186" s="36"/>
      <c r="D186" s="36" t="s">
        <v>604</v>
      </c>
      <c r="E186" s="36"/>
      <c r="F186" s="36"/>
      <c r="J186" s="37" t="s">
        <v>611</v>
      </c>
      <c r="K186" s="37"/>
      <c r="L186" s="37"/>
      <c r="M186" s="37" t="s">
        <v>604</v>
      </c>
      <c r="N186" s="37"/>
      <c r="O186" s="37"/>
    </row>
    <row r="187" spans="1:15" x14ac:dyDescent="0.25">
      <c r="A187" s="36"/>
      <c r="B187" s="36"/>
      <c r="C187" s="36" t="s">
        <v>605</v>
      </c>
      <c r="D187" s="36" t="s">
        <v>606</v>
      </c>
      <c r="E187" s="36" t="s">
        <v>496</v>
      </c>
      <c r="F187" s="36" t="s">
        <v>497</v>
      </c>
      <c r="J187" s="37"/>
      <c r="K187" s="37"/>
      <c r="L187" s="37" t="s">
        <v>605</v>
      </c>
      <c r="M187" s="37" t="s">
        <v>606</v>
      </c>
      <c r="N187" s="37" t="s">
        <v>496</v>
      </c>
      <c r="O187" s="37" t="s">
        <v>497</v>
      </c>
    </row>
    <row r="188" spans="1:15" x14ac:dyDescent="0.25">
      <c r="A188" s="36" t="s">
        <v>607</v>
      </c>
      <c r="B188" s="36"/>
      <c r="C188" s="36"/>
      <c r="D188" s="36">
        <v>0</v>
      </c>
      <c r="E188" s="36">
        <v>0</v>
      </c>
      <c r="F188" s="36">
        <v>0</v>
      </c>
      <c r="J188" s="37" t="s">
        <v>607</v>
      </c>
      <c r="K188" s="37"/>
      <c r="L188" s="37"/>
      <c r="M188" s="37">
        <v>0</v>
      </c>
      <c r="N188" s="37">
        <v>0</v>
      </c>
      <c r="O188" s="37">
        <v>0</v>
      </c>
    </row>
    <row r="189" spans="1:15" x14ac:dyDescent="0.25">
      <c r="A189" s="35">
        <v>43594</v>
      </c>
      <c r="B189" s="36"/>
      <c r="C189" s="36"/>
      <c r="D189" s="36">
        <v>0</v>
      </c>
      <c r="E189" s="36">
        <v>0</v>
      </c>
      <c r="F189" s="36">
        <v>0</v>
      </c>
      <c r="J189" s="35">
        <v>43594</v>
      </c>
      <c r="K189" s="37"/>
      <c r="L189" s="37"/>
      <c r="M189" s="37">
        <v>0</v>
      </c>
      <c r="N189" s="37">
        <v>0</v>
      </c>
      <c r="O189" s="37">
        <v>0</v>
      </c>
    </row>
    <row r="190" spans="1:15" x14ac:dyDescent="0.25">
      <c r="A190" s="35">
        <v>43752</v>
      </c>
      <c r="B190" s="36"/>
      <c r="C190" s="36">
        <v>0.05</v>
      </c>
      <c r="D190" s="36">
        <f>0.8*M190</f>
        <v>6.24</v>
      </c>
      <c r="E190" s="36">
        <f>0.8*N190</f>
        <v>3.7439999999999998</v>
      </c>
      <c r="F190" s="36">
        <f>0.8*O190</f>
        <v>2.2464</v>
      </c>
      <c r="J190" s="35">
        <v>43752</v>
      </c>
      <c r="K190" s="37"/>
      <c r="L190" s="37">
        <v>0.05</v>
      </c>
      <c r="M190" s="37">
        <v>7.8</v>
      </c>
      <c r="N190" s="37">
        <v>4.68</v>
      </c>
      <c r="O190" s="37">
        <v>2.8079999999999998</v>
      </c>
    </row>
    <row r="191" spans="1:15" x14ac:dyDescent="0.25">
      <c r="A191" s="36" t="s">
        <v>314</v>
      </c>
      <c r="B191" s="36"/>
      <c r="C191" s="36">
        <v>0.1</v>
      </c>
      <c r="D191" s="37">
        <f t="shared" ref="D191:D203" si="3">0.8*M191</f>
        <v>12.48</v>
      </c>
      <c r="E191" s="37">
        <f t="shared" ref="E191:E203" si="4">0.8*N191</f>
        <v>7.4879999999999995</v>
      </c>
      <c r="F191" s="37">
        <f t="shared" ref="F191:F203" si="5">0.8*O191</f>
        <v>4.4927999999999999</v>
      </c>
      <c r="J191" s="37" t="s">
        <v>314</v>
      </c>
      <c r="K191" s="37"/>
      <c r="L191" s="37">
        <v>0.1</v>
      </c>
      <c r="M191" s="37">
        <v>15.6</v>
      </c>
      <c r="N191" s="37">
        <v>9.36</v>
      </c>
      <c r="O191" s="37">
        <v>5.6159999999999997</v>
      </c>
    </row>
    <row r="192" spans="1:15" x14ac:dyDescent="0.25">
      <c r="A192" s="36" t="s">
        <v>608</v>
      </c>
      <c r="B192" s="36">
        <v>1</v>
      </c>
      <c r="C192" s="36">
        <v>0.4</v>
      </c>
      <c r="D192" s="37">
        <f t="shared" si="3"/>
        <v>49.92</v>
      </c>
      <c r="E192" s="37">
        <f t="shared" si="4"/>
        <v>29.951999999999998</v>
      </c>
      <c r="F192" s="37">
        <f t="shared" si="5"/>
        <v>17.9712</v>
      </c>
      <c r="J192" s="37" t="s">
        <v>608</v>
      </c>
      <c r="K192" s="37">
        <v>1</v>
      </c>
      <c r="L192" s="37">
        <v>0.4</v>
      </c>
      <c r="M192" s="37">
        <v>62.4</v>
      </c>
      <c r="N192" s="37">
        <v>37.44</v>
      </c>
      <c r="O192" s="37">
        <v>22.463999999999999</v>
      </c>
    </row>
    <row r="193" spans="1:15" x14ac:dyDescent="0.25">
      <c r="A193" s="36" t="s">
        <v>139</v>
      </c>
      <c r="B193" s="36">
        <v>5</v>
      </c>
      <c r="C193" s="36"/>
      <c r="D193" s="37">
        <f t="shared" si="3"/>
        <v>124.80000000000001</v>
      </c>
      <c r="E193" s="37">
        <f t="shared" si="4"/>
        <v>74.88</v>
      </c>
      <c r="F193" s="37">
        <f t="shared" si="5"/>
        <v>44.927999999999997</v>
      </c>
      <c r="J193" s="37" t="s">
        <v>139</v>
      </c>
      <c r="K193" s="37">
        <v>5</v>
      </c>
      <c r="L193" s="37"/>
      <c r="M193" s="37">
        <v>156</v>
      </c>
      <c r="N193" s="37">
        <v>93.6</v>
      </c>
      <c r="O193" s="37">
        <v>56.16</v>
      </c>
    </row>
    <row r="194" spans="1:15" x14ac:dyDescent="0.25">
      <c r="A194" s="36" t="s">
        <v>317</v>
      </c>
      <c r="B194" s="36">
        <v>10</v>
      </c>
      <c r="C194" s="36">
        <v>0.70710678100000002</v>
      </c>
      <c r="D194" s="37">
        <f t="shared" si="3"/>
        <v>88.24692632</v>
      </c>
      <c r="E194" s="37">
        <f t="shared" si="4"/>
        <v>52.948155776</v>
      </c>
      <c r="F194" s="37">
        <f t="shared" si="5"/>
        <v>31.768893464000001</v>
      </c>
      <c r="J194" s="37" t="s">
        <v>317</v>
      </c>
      <c r="K194" s="37">
        <v>10</v>
      </c>
      <c r="L194" s="37">
        <v>0.70710678100000002</v>
      </c>
      <c r="M194" s="37">
        <v>110.3086579</v>
      </c>
      <c r="N194" s="37">
        <v>66.185194719999998</v>
      </c>
      <c r="O194" s="37">
        <v>39.711116830000002</v>
      </c>
    </row>
    <row r="195" spans="1:15" x14ac:dyDescent="0.25">
      <c r="A195" s="36" t="s">
        <v>318</v>
      </c>
      <c r="B195" s="36">
        <v>15</v>
      </c>
      <c r="C195" s="36">
        <v>0.5</v>
      </c>
      <c r="D195" s="37">
        <f t="shared" si="3"/>
        <v>62.400000000000006</v>
      </c>
      <c r="E195" s="37">
        <f t="shared" si="4"/>
        <v>37.44</v>
      </c>
      <c r="F195" s="37">
        <f t="shared" si="5"/>
        <v>22.463999999999999</v>
      </c>
      <c r="J195" s="37" t="s">
        <v>318</v>
      </c>
      <c r="K195" s="37">
        <v>15</v>
      </c>
      <c r="L195" s="37">
        <v>0.5</v>
      </c>
      <c r="M195" s="37">
        <v>78</v>
      </c>
      <c r="N195" s="37">
        <v>46.8</v>
      </c>
      <c r="O195" s="37">
        <v>28.08</v>
      </c>
    </row>
    <row r="196" spans="1:15" x14ac:dyDescent="0.25">
      <c r="A196" s="36" t="s">
        <v>319</v>
      </c>
      <c r="B196" s="36">
        <v>20</v>
      </c>
      <c r="C196" s="36">
        <v>0.35355339099999999</v>
      </c>
      <c r="D196" s="37">
        <f t="shared" si="3"/>
        <v>44.123463143999999</v>
      </c>
      <c r="E196" s="37">
        <f t="shared" si="4"/>
        <v>26.474077888</v>
      </c>
      <c r="F196" s="37">
        <f t="shared" si="5"/>
        <v>15.884446736000001</v>
      </c>
      <c r="J196" s="37" t="s">
        <v>319</v>
      </c>
      <c r="K196" s="37">
        <v>20</v>
      </c>
      <c r="L196" s="37">
        <v>0.35355339099999999</v>
      </c>
      <c r="M196" s="37">
        <v>55.154328929999998</v>
      </c>
      <c r="N196" s="37">
        <v>33.092597359999999</v>
      </c>
      <c r="O196" s="37">
        <v>19.855558420000001</v>
      </c>
    </row>
    <row r="197" spans="1:15" x14ac:dyDescent="0.25">
      <c r="A197" s="36" t="s">
        <v>320</v>
      </c>
      <c r="B197" s="36">
        <v>25</v>
      </c>
      <c r="C197" s="36">
        <v>0.25</v>
      </c>
      <c r="D197" s="37">
        <f t="shared" si="3"/>
        <v>31.200000000000003</v>
      </c>
      <c r="E197" s="37">
        <f t="shared" si="4"/>
        <v>18.72</v>
      </c>
      <c r="F197" s="37">
        <f t="shared" si="5"/>
        <v>11.231999999999999</v>
      </c>
      <c r="J197" s="37" t="s">
        <v>320</v>
      </c>
      <c r="K197" s="37">
        <v>25</v>
      </c>
      <c r="L197" s="37">
        <v>0.25</v>
      </c>
      <c r="M197" s="37">
        <v>39</v>
      </c>
      <c r="N197" s="37">
        <v>23.4</v>
      </c>
      <c r="O197" s="37">
        <v>14.04</v>
      </c>
    </row>
    <row r="198" spans="1:15" x14ac:dyDescent="0.25">
      <c r="A198" s="36" t="s">
        <v>609</v>
      </c>
      <c r="B198" s="36">
        <v>30</v>
      </c>
      <c r="C198" s="36">
        <v>0.17677669500000001</v>
      </c>
      <c r="D198" s="37">
        <f t="shared" si="3"/>
        <v>22.061731576</v>
      </c>
      <c r="E198" s="37">
        <f t="shared" si="4"/>
        <v>13.237038944</v>
      </c>
      <c r="F198" s="37">
        <f t="shared" si="5"/>
        <v>7.9422233664000004</v>
      </c>
      <c r="J198" s="37" t="s">
        <v>609</v>
      </c>
      <c r="K198" s="37">
        <v>30</v>
      </c>
      <c r="L198" s="37">
        <v>0.17677669500000001</v>
      </c>
      <c r="M198" s="37">
        <v>27.57716447</v>
      </c>
      <c r="N198" s="37">
        <v>16.54629868</v>
      </c>
      <c r="O198" s="37">
        <v>9.9277792080000005</v>
      </c>
    </row>
    <row r="199" spans="1:15" x14ac:dyDescent="0.25">
      <c r="A199" s="36" t="s">
        <v>322</v>
      </c>
      <c r="B199" s="36">
        <v>35</v>
      </c>
      <c r="C199" s="36">
        <v>0.125</v>
      </c>
      <c r="D199" s="37">
        <f t="shared" si="3"/>
        <v>15.600000000000001</v>
      </c>
      <c r="E199" s="37">
        <f t="shared" si="4"/>
        <v>9.36</v>
      </c>
      <c r="F199" s="37">
        <f t="shared" si="5"/>
        <v>5.6159999999999997</v>
      </c>
      <c r="J199" s="37" t="s">
        <v>322</v>
      </c>
      <c r="K199" s="37">
        <v>35</v>
      </c>
      <c r="L199" s="37">
        <v>0.125</v>
      </c>
      <c r="M199" s="37">
        <v>19.5</v>
      </c>
      <c r="N199" s="37">
        <v>11.7</v>
      </c>
      <c r="O199" s="37">
        <v>7.02</v>
      </c>
    </row>
    <row r="200" spans="1:15" x14ac:dyDescent="0.25">
      <c r="A200" s="36" t="s">
        <v>327</v>
      </c>
      <c r="B200" s="36">
        <v>40</v>
      </c>
      <c r="C200" s="36">
        <v>8.8388348000000005E-2</v>
      </c>
      <c r="D200" s="37">
        <f t="shared" si="3"/>
        <v>11.030865784</v>
      </c>
      <c r="E200" s="37">
        <f t="shared" si="4"/>
        <v>6.618519472</v>
      </c>
      <c r="F200" s="37">
        <f t="shared" si="5"/>
        <v>3.9711116832000002</v>
      </c>
      <c r="J200" s="37" t="s">
        <v>327</v>
      </c>
      <c r="K200" s="37">
        <v>40</v>
      </c>
      <c r="L200" s="37">
        <v>8.8388348000000005E-2</v>
      </c>
      <c r="M200" s="37">
        <v>13.788582229999999</v>
      </c>
      <c r="N200" s="37">
        <v>8.2731493399999998</v>
      </c>
      <c r="O200" s="37">
        <v>4.9638896040000002</v>
      </c>
    </row>
    <row r="201" spans="1:15" x14ac:dyDescent="0.25">
      <c r="A201" s="36" t="s">
        <v>466</v>
      </c>
      <c r="B201" s="36">
        <v>45</v>
      </c>
      <c r="C201" s="36">
        <v>6.25E-2</v>
      </c>
      <c r="D201" s="37">
        <f t="shared" si="3"/>
        <v>7.8000000000000007</v>
      </c>
      <c r="E201" s="37">
        <f t="shared" si="4"/>
        <v>4.68</v>
      </c>
      <c r="F201" s="37">
        <f t="shared" si="5"/>
        <v>2.8079999999999998</v>
      </c>
      <c r="J201" s="37" t="s">
        <v>466</v>
      </c>
      <c r="K201" s="37">
        <v>45</v>
      </c>
      <c r="L201" s="37">
        <v>6.25E-2</v>
      </c>
      <c r="M201" s="37">
        <v>9.75</v>
      </c>
      <c r="N201" s="37">
        <v>5.85</v>
      </c>
      <c r="O201" s="37">
        <v>3.51</v>
      </c>
    </row>
    <row r="202" spans="1:15" x14ac:dyDescent="0.25">
      <c r="A202" s="36" t="s">
        <v>467</v>
      </c>
      <c r="B202" s="36">
        <v>50</v>
      </c>
      <c r="C202" s="36">
        <v>4.4194174000000003E-2</v>
      </c>
      <c r="D202" s="37">
        <f t="shared" si="3"/>
        <v>5.5154328935999999</v>
      </c>
      <c r="E202" s="37">
        <f t="shared" si="4"/>
        <v>3.309259736</v>
      </c>
      <c r="F202" s="37">
        <f t="shared" si="5"/>
        <v>1.9855558416000001</v>
      </c>
      <c r="J202" s="37" t="s">
        <v>467</v>
      </c>
      <c r="K202" s="37">
        <v>50</v>
      </c>
      <c r="L202" s="37">
        <v>4.4194174000000003E-2</v>
      </c>
      <c r="M202" s="37">
        <v>6.8942911169999999</v>
      </c>
      <c r="N202" s="37">
        <v>4.1365746699999999</v>
      </c>
      <c r="O202" s="37">
        <v>2.4819448020000001</v>
      </c>
    </row>
    <row r="203" spans="1:15" x14ac:dyDescent="0.25">
      <c r="A203" s="36" t="s">
        <v>468</v>
      </c>
      <c r="B203" s="36">
        <v>55</v>
      </c>
      <c r="C203" s="36">
        <v>3.125E-2</v>
      </c>
      <c r="D203" s="37">
        <f t="shared" si="3"/>
        <v>3.9000000000000004</v>
      </c>
      <c r="E203" s="37">
        <f t="shared" si="4"/>
        <v>2.34</v>
      </c>
      <c r="F203" s="37">
        <f t="shared" si="5"/>
        <v>1.4039999999999999</v>
      </c>
      <c r="J203" s="37" t="s">
        <v>468</v>
      </c>
      <c r="K203" s="37">
        <v>55</v>
      </c>
      <c r="L203" s="37">
        <v>3.125E-2</v>
      </c>
      <c r="M203" s="37">
        <v>4.875</v>
      </c>
      <c r="N203" s="37">
        <v>2.9249999999999998</v>
      </c>
      <c r="O203" s="37">
        <v>1.7549999999999999</v>
      </c>
    </row>
    <row r="204" spans="1:15" x14ac:dyDescent="0.25">
      <c r="A204" s="36"/>
      <c r="B204" s="36"/>
      <c r="C204" s="36"/>
      <c r="D204" s="36"/>
      <c r="E204" s="36"/>
      <c r="F204" s="36"/>
      <c r="J204" s="37"/>
      <c r="K204" s="37"/>
      <c r="L204" s="37"/>
      <c r="M204" s="37"/>
      <c r="N204" s="37"/>
      <c r="O204" s="37"/>
    </row>
    <row r="205" spans="1:15" x14ac:dyDescent="0.25">
      <c r="A205" s="36" t="s">
        <v>617</v>
      </c>
      <c r="B205" s="36"/>
      <c r="C205" s="36"/>
      <c r="D205" s="36"/>
      <c r="E205" s="36"/>
      <c r="F205" s="36"/>
      <c r="J205" s="37" t="s">
        <v>617</v>
      </c>
      <c r="K205" s="37"/>
      <c r="L205" s="37"/>
      <c r="M205" s="37"/>
      <c r="N205" s="37"/>
      <c r="O205" s="37"/>
    </row>
    <row r="206" spans="1:15" x14ac:dyDescent="0.25">
      <c r="A206" s="36" t="s">
        <v>612</v>
      </c>
      <c r="B206" s="36" t="s">
        <v>613</v>
      </c>
      <c r="C206" s="36" t="s">
        <v>614</v>
      </c>
      <c r="D206" s="36" t="s">
        <v>615</v>
      </c>
      <c r="E206" s="36"/>
      <c r="F206" s="36"/>
      <c r="J206" s="37" t="s">
        <v>612</v>
      </c>
      <c r="K206" s="37" t="s">
        <v>613</v>
      </c>
      <c r="L206" s="37" t="s">
        <v>614</v>
      </c>
      <c r="M206" s="37" t="s">
        <v>615</v>
      </c>
      <c r="N206" s="37"/>
      <c r="O206" s="37"/>
    </row>
    <row r="207" spans="1:15" x14ac:dyDescent="0.25">
      <c r="A207" s="36" t="s">
        <v>226</v>
      </c>
      <c r="B207" s="36">
        <v>156</v>
      </c>
      <c r="C207" s="36">
        <v>93.6</v>
      </c>
      <c r="D207" s="36">
        <v>56.16</v>
      </c>
      <c r="E207" s="36"/>
      <c r="F207" s="36"/>
      <c r="J207" s="37" t="s">
        <v>226</v>
      </c>
      <c r="K207" s="37">
        <v>156</v>
      </c>
      <c r="L207" s="37">
        <v>93.6</v>
      </c>
      <c r="M207" s="37">
        <v>56.16</v>
      </c>
      <c r="N207" s="37"/>
      <c r="O207" s="37"/>
    </row>
    <row r="208" spans="1:15" x14ac:dyDescent="0.25">
      <c r="A208" s="36" t="s">
        <v>225</v>
      </c>
      <c r="B208" s="36">
        <v>156</v>
      </c>
      <c r="C208" s="36">
        <v>93.6</v>
      </c>
      <c r="D208" s="36">
        <v>56.16</v>
      </c>
      <c r="E208" s="36"/>
      <c r="F208" s="36"/>
      <c r="J208" s="37" t="s">
        <v>225</v>
      </c>
      <c r="K208" s="37">
        <v>156</v>
      </c>
      <c r="L208" s="37">
        <v>93.6</v>
      </c>
      <c r="M208" s="37">
        <v>56.16</v>
      </c>
      <c r="N208" s="37"/>
      <c r="O208" s="37"/>
    </row>
    <row r="209" spans="1:15" s="37" customFormat="1" x14ac:dyDescent="0.25"/>
    <row r="210" spans="1:15" s="37" customFormat="1" x14ac:dyDescent="0.25"/>
    <row r="211" spans="1:15" s="37" customFormat="1" x14ac:dyDescent="0.25">
      <c r="A211" s="42" t="s">
        <v>645</v>
      </c>
    </row>
    <row r="212" spans="1:15" x14ac:dyDescent="0.25">
      <c r="A212" s="36"/>
      <c r="B212" s="36"/>
      <c r="C212" s="36"/>
      <c r="D212" s="36"/>
      <c r="E212" s="36"/>
      <c r="F212" s="36"/>
      <c r="J212" s="37"/>
      <c r="K212" s="37"/>
      <c r="L212" s="37"/>
      <c r="M212" s="37"/>
      <c r="N212" s="37"/>
      <c r="O212" s="37"/>
    </row>
    <row r="213" spans="1:15" x14ac:dyDescent="0.25">
      <c r="A213" s="2" t="s">
        <v>626</v>
      </c>
    </row>
    <row r="214" spans="1:15" x14ac:dyDescent="0.25">
      <c r="B214" t="s">
        <v>630</v>
      </c>
    </row>
    <row r="215" spans="1:15" x14ac:dyDescent="0.25">
      <c r="B215" t="s">
        <v>627</v>
      </c>
    </row>
    <row r="216" spans="1:15" x14ac:dyDescent="0.25">
      <c r="B216" t="s">
        <v>628</v>
      </c>
    </row>
    <row r="217" spans="1:15" x14ac:dyDescent="0.25">
      <c r="B217" t="s">
        <v>629</v>
      </c>
    </row>
    <row r="219" spans="1:15" x14ac:dyDescent="0.25">
      <c r="A219" s="2" t="s">
        <v>631</v>
      </c>
    </row>
    <row r="220" spans="1:15" x14ac:dyDescent="0.25">
      <c r="A220" t="s">
        <v>476</v>
      </c>
      <c r="B220" t="s">
        <v>632</v>
      </c>
    </row>
    <row r="221" spans="1:15" x14ac:dyDescent="0.25">
      <c r="B221" t="s">
        <v>633</v>
      </c>
    </row>
    <row r="222" spans="1:15" x14ac:dyDescent="0.25">
      <c r="B222" t="s">
        <v>634</v>
      </c>
    </row>
    <row r="223" spans="1:15" x14ac:dyDescent="0.25">
      <c r="B223" t="s">
        <v>635</v>
      </c>
    </row>
    <row r="237" spans="1:2" x14ac:dyDescent="0.25">
      <c r="A237" s="2" t="s">
        <v>646</v>
      </c>
    </row>
    <row r="238" spans="1:2" x14ac:dyDescent="0.25">
      <c r="B238" t="s">
        <v>647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C10" sqref="C10"/>
    </sheetView>
  </sheetViews>
  <sheetFormatPr defaultRowHeight="15" x14ac:dyDescent="0.25"/>
  <cols>
    <col min="2" max="2" width="17.5703125" customWidth="1"/>
  </cols>
  <sheetData>
    <row r="1" spans="1:4" x14ac:dyDescent="0.25">
      <c r="A1" s="2" t="s">
        <v>393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405</v>
      </c>
    </row>
    <row r="13" spans="1:4" x14ac:dyDescent="0.25">
      <c r="B13" t="s">
        <v>420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421</v>
      </c>
    </row>
    <row r="19" spans="1:4" x14ac:dyDescent="0.25">
      <c r="C19">
        <v>2007</v>
      </c>
      <c r="D19">
        <v>2012</v>
      </c>
    </row>
    <row r="20" spans="1:4" x14ac:dyDescent="0.25">
      <c r="B20" t="s">
        <v>422</v>
      </c>
      <c r="C20">
        <v>4.0999999999999996</v>
      </c>
      <c r="D20">
        <v>3.1</v>
      </c>
    </row>
    <row r="21" spans="1:4" x14ac:dyDescent="0.25">
      <c r="B21" t="s">
        <v>423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1:5" x14ac:dyDescent="0.25">
      <c r="B33" t="s">
        <v>144</v>
      </c>
      <c r="C33">
        <v>92.6</v>
      </c>
    </row>
    <row r="34" spans="1:5" x14ac:dyDescent="0.25">
      <c r="B34" t="s">
        <v>158</v>
      </c>
      <c r="C34">
        <v>72.099999999999994</v>
      </c>
    </row>
    <row r="35" spans="1:5" s="37" customFormat="1" x14ac:dyDescent="0.25"/>
    <row r="36" spans="1:5" x14ac:dyDescent="0.25">
      <c r="A36" s="42" t="s">
        <v>708</v>
      </c>
    </row>
    <row r="37" spans="1:5" x14ac:dyDescent="0.25">
      <c r="A37" s="2" t="s">
        <v>705</v>
      </c>
    </row>
    <row r="38" spans="1:5" x14ac:dyDescent="0.25">
      <c r="B38" t="s">
        <v>706</v>
      </c>
    </row>
    <row r="39" spans="1:5" x14ac:dyDescent="0.25">
      <c r="B39" t="s">
        <v>707</v>
      </c>
    </row>
    <row r="41" spans="1:5" x14ac:dyDescent="0.25">
      <c r="A41" s="2" t="s">
        <v>709</v>
      </c>
    </row>
    <row r="42" spans="1:5" x14ac:dyDescent="0.25">
      <c r="C42" t="s">
        <v>710</v>
      </c>
    </row>
    <row r="43" spans="1:5" x14ac:dyDescent="0.25">
      <c r="B43" t="s">
        <v>711</v>
      </c>
      <c r="C43">
        <v>0.52</v>
      </c>
      <c r="D43">
        <v>0.4</v>
      </c>
      <c r="E43">
        <v>0.68</v>
      </c>
    </row>
    <row r="44" spans="1:5" x14ac:dyDescent="0.25">
      <c r="B44" t="s">
        <v>712</v>
      </c>
      <c r="C44">
        <v>0.42</v>
      </c>
      <c r="D44">
        <v>0.34</v>
      </c>
      <c r="E44">
        <v>0.54</v>
      </c>
    </row>
    <row r="45" spans="1:5" x14ac:dyDescent="0.25">
      <c r="B45" t="s">
        <v>713</v>
      </c>
      <c r="C45">
        <v>0.28999999999999998</v>
      </c>
      <c r="D45">
        <v>0.2</v>
      </c>
      <c r="E45">
        <v>0.41</v>
      </c>
    </row>
    <row r="46" spans="1:5" x14ac:dyDescent="0.25">
      <c r="B46" t="s">
        <v>714</v>
      </c>
      <c r="C46">
        <v>0.56000000000000005</v>
      </c>
      <c r="D46">
        <v>0.44</v>
      </c>
      <c r="E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opLeftCell="A34" workbookViewId="0">
      <selection activeCell="C65" sqref="C65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343</v>
      </c>
      <c r="Q39" t="s">
        <v>500</v>
      </c>
      <c r="Z39" t="s">
        <v>501</v>
      </c>
    </row>
    <row r="40" spans="1:33" x14ac:dyDescent="0.25">
      <c r="B40" t="s">
        <v>340</v>
      </c>
      <c r="Q40" s="21" t="s">
        <v>340</v>
      </c>
      <c r="R40" s="21"/>
      <c r="S40" s="21"/>
      <c r="T40" s="21"/>
      <c r="U40" s="21"/>
      <c r="V40" s="21"/>
      <c r="W40" s="21"/>
      <c r="X40" s="21"/>
      <c r="Z40" s="21" t="s">
        <v>340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342</v>
      </c>
      <c r="D41" t="s">
        <v>152</v>
      </c>
      <c r="E41" t="s">
        <v>456</v>
      </c>
      <c r="F41" s="21" t="s">
        <v>457</v>
      </c>
      <c r="G41" s="21" t="s">
        <v>458</v>
      </c>
      <c r="H41" s="21" t="s">
        <v>459</v>
      </c>
      <c r="I41" s="21" t="s">
        <v>460</v>
      </c>
      <c r="Q41" s="21" t="s">
        <v>80</v>
      </c>
      <c r="R41" s="21" t="s">
        <v>990</v>
      </c>
      <c r="S41" s="21" t="s">
        <v>456</v>
      </c>
      <c r="T41" s="21" t="s">
        <v>457</v>
      </c>
      <c r="U41" s="21" t="s">
        <v>458</v>
      </c>
      <c r="V41" s="21" t="s">
        <v>459</v>
      </c>
      <c r="W41" s="21" t="s">
        <v>460</v>
      </c>
      <c r="Y41" s="21" t="s">
        <v>80</v>
      </c>
      <c r="Z41" s="21" t="s">
        <v>152</v>
      </c>
      <c r="AA41" s="21" t="s">
        <v>456</v>
      </c>
      <c r="AB41" s="21" t="s">
        <v>457</v>
      </c>
      <c r="AC41" s="21" t="s">
        <v>458</v>
      </c>
      <c r="AD41" s="21" t="s">
        <v>459</v>
      </c>
      <c r="AE41" s="21" t="s">
        <v>460</v>
      </c>
    </row>
    <row r="42" spans="1:33" s="21" customFormat="1" x14ac:dyDescent="0.25">
      <c r="B42" s="21" t="s">
        <v>462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462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462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463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463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463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341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341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341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456</v>
      </c>
      <c r="L51" t="s">
        <v>457</v>
      </c>
      <c r="M51" t="s">
        <v>458</v>
      </c>
      <c r="N51" t="s">
        <v>459</v>
      </c>
      <c r="O51" t="s">
        <v>460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464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461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464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464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465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465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465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327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327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327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466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466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466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467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467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467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468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468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468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368</v>
      </c>
      <c r="C59">
        <v>8</v>
      </c>
    </row>
    <row r="60" spans="1:31" s="21" customFormat="1" x14ac:dyDescent="0.25">
      <c r="B60" t="s">
        <v>367</v>
      </c>
      <c r="C60">
        <v>8.67</v>
      </c>
    </row>
    <row r="62" spans="1:31" x14ac:dyDescent="0.25">
      <c r="A62" s="2" t="s">
        <v>377</v>
      </c>
    </row>
    <row r="64" spans="1:31" x14ac:dyDescent="0.25">
      <c r="B64" s="15" t="s">
        <v>385</v>
      </c>
    </row>
    <row r="65" spans="2:9" x14ac:dyDescent="0.25">
      <c r="B65" s="15" t="s">
        <v>80</v>
      </c>
      <c r="C65" s="15" t="s">
        <v>388</v>
      </c>
      <c r="D65" t="s">
        <v>387</v>
      </c>
      <c r="E65" t="s">
        <v>386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389</v>
      </c>
    </row>
    <row r="76" spans="2:9" x14ac:dyDescent="0.25">
      <c r="C76" t="s">
        <v>390</v>
      </c>
      <c r="G76" t="s">
        <v>379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  <row r="81" spans="1:2" x14ac:dyDescent="0.25">
      <c r="A81" s="2" t="s">
        <v>638</v>
      </c>
    </row>
    <row r="82" spans="1:2" x14ac:dyDescent="0.25">
      <c r="B82" t="s">
        <v>639</v>
      </c>
    </row>
    <row r="84" spans="1:2" x14ac:dyDescent="0.25">
      <c r="A84" s="2" t="s">
        <v>642</v>
      </c>
    </row>
    <row r="85" spans="1:2" x14ac:dyDescent="0.25">
      <c r="B85" t="s">
        <v>640</v>
      </c>
    </row>
    <row r="86" spans="1:2" x14ac:dyDescent="0.25">
      <c r="B86" t="s">
        <v>641</v>
      </c>
    </row>
    <row r="88" spans="1:2" x14ac:dyDescent="0.25">
      <c r="A88" s="2" t="s">
        <v>643</v>
      </c>
    </row>
    <row r="89" spans="1:2" x14ac:dyDescent="0.25">
      <c r="B89" t="s">
        <v>644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4" workbookViewId="0">
      <selection activeCell="G73" sqref="G73:H73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343</v>
      </c>
    </row>
    <row r="2" spans="1:4" x14ac:dyDescent="0.25">
      <c r="A2" s="2"/>
      <c r="B2" t="s">
        <v>365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344</v>
      </c>
      <c r="C4">
        <v>0.115</v>
      </c>
      <c r="D4">
        <v>0.11</v>
      </c>
    </row>
    <row r="5" spans="1:4" x14ac:dyDescent="0.25">
      <c r="A5" s="2"/>
      <c r="B5" s="15" t="s">
        <v>345</v>
      </c>
      <c r="C5">
        <v>1.6E-2</v>
      </c>
      <c r="D5">
        <v>1.4E-2</v>
      </c>
    </row>
    <row r="6" spans="1:4" x14ac:dyDescent="0.25">
      <c r="A6" s="2"/>
      <c r="B6" s="15" t="s">
        <v>346</v>
      </c>
      <c r="C6">
        <v>3.0000000000000001E-3</v>
      </c>
      <c r="D6">
        <v>3.0000000000000001E-3</v>
      </c>
    </row>
    <row r="7" spans="1:4" x14ac:dyDescent="0.25">
      <c r="A7" s="2"/>
      <c r="B7" s="15" t="s">
        <v>347</v>
      </c>
      <c r="C7">
        <v>2E-3</v>
      </c>
      <c r="D7">
        <v>2E-3</v>
      </c>
    </row>
    <row r="8" spans="1:4" x14ac:dyDescent="0.25">
      <c r="A8" s="2"/>
      <c r="B8" s="15" t="s">
        <v>348</v>
      </c>
      <c r="C8">
        <v>4.0000000000000001E-3</v>
      </c>
      <c r="D8">
        <v>3.0000000000000001E-3</v>
      </c>
    </row>
    <row r="9" spans="1:4" x14ac:dyDescent="0.25">
      <c r="A9" s="2"/>
      <c r="B9" s="15" t="s">
        <v>349</v>
      </c>
      <c r="C9">
        <v>5.0000000000000001E-3</v>
      </c>
      <c r="D9">
        <v>5.0000000000000001E-3</v>
      </c>
    </row>
    <row r="10" spans="1:4" x14ac:dyDescent="0.25">
      <c r="A10" s="2"/>
      <c r="B10" s="15" t="s">
        <v>350</v>
      </c>
      <c r="C10">
        <v>6.0000000000000001E-3</v>
      </c>
      <c r="D10">
        <v>5.0000000000000001E-3</v>
      </c>
    </row>
    <row r="11" spans="1:4" x14ac:dyDescent="0.25">
      <c r="A11" s="2"/>
      <c r="B11" s="15" t="s">
        <v>351</v>
      </c>
      <c r="C11">
        <v>6.0000000000000001E-3</v>
      </c>
      <c r="D11">
        <v>5.0000000000000001E-3</v>
      </c>
    </row>
    <row r="12" spans="1:4" x14ac:dyDescent="0.25">
      <c r="A12" s="2"/>
      <c r="B12" s="15" t="s">
        <v>352</v>
      </c>
      <c r="C12">
        <v>7.0000000000000001E-3</v>
      </c>
      <c r="D12">
        <v>5.0000000000000001E-3</v>
      </c>
    </row>
    <row r="13" spans="1:4" x14ac:dyDescent="0.25">
      <c r="B13" s="15" t="s">
        <v>353</v>
      </c>
      <c r="C13">
        <v>8.0000000000000002E-3</v>
      </c>
      <c r="D13">
        <v>6.0000000000000001E-3</v>
      </c>
    </row>
    <row r="14" spans="1:4" x14ac:dyDescent="0.25">
      <c r="B14" s="15" t="s">
        <v>354</v>
      </c>
      <c r="C14">
        <v>0.01</v>
      </c>
      <c r="D14">
        <v>8.0000000000000002E-3</v>
      </c>
    </row>
    <row r="15" spans="1:4" x14ac:dyDescent="0.25">
      <c r="B15" s="15" t="s">
        <v>355</v>
      </c>
      <c r="C15">
        <v>1.4E-2</v>
      </c>
      <c r="D15">
        <v>1.0999999999999999E-2</v>
      </c>
    </row>
    <row r="16" spans="1:4" x14ac:dyDescent="0.25">
      <c r="B16" s="15" t="s">
        <v>356</v>
      </c>
      <c r="C16">
        <v>1.9E-2</v>
      </c>
      <c r="D16">
        <v>1.4999999999999999E-2</v>
      </c>
    </row>
    <row r="17" spans="1:8" x14ac:dyDescent="0.25">
      <c r="B17" s="15" t="s">
        <v>357</v>
      </c>
      <c r="C17">
        <v>2.9000000000000001E-2</v>
      </c>
      <c r="D17">
        <v>2.4E-2</v>
      </c>
    </row>
    <row r="18" spans="1:8" x14ac:dyDescent="0.25">
      <c r="B18" s="15" t="s">
        <v>358</v>
      </c>
      <c r="C18">
        <v>4.5999999999999999E-2</v>
      </c>
      <c r="D18">
        <v>3.9E-2</v>
      </c>
    </row>
    <row r="19" spans="1:8" x14ac:dyDescent="0.25">
      <c r="B19" s="15" t="s">
        <v>359</v>
      </c>
      <c r="C19">
        <v>7.2999999999999995E-2</v>
      </c>
      <c r="D19">
        <v>6.6000000000000003E-2</v>
      </c>
    </row>
    <row r="20" spans="1:8" x14ac:dyDescent="0.25">
      <c r="B20" s="15" t="s">
        <v>360</v>
      </c>
      <c r="C20">
        <v>0.11600000000000001</v>
      </c>
      <c r="D20">
        <v>0.11</v>
      </c>
    </row>
    <row r="21" spans="1:8" x14ac:dyDescent="0.25">
      <c r="B21" s="15" t="s">
        <v>331</v>
      </c>
      <c r="C21">
        <v>0.19800000000000001</v>
      </c>
      <c r="D21">
        <v>0.19</v>
      </c>
    </row>
    <row r="23" spans="1:8" x14ac:dyDescent="0.25">
      <c r="B23" s="15" t="s">
        <v>369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362</v>
      </c>
      <c r="B44" t="s">
        <v>363</v>
      </c>
      <c r="C44">
        <v>313</v>
      </c>
      <c r="G44">
        <v>348</v>
      </c>
    </row>
    <row r="45" spans="1:8" x14ac:dyDescent="0.25">
      <c r="B45" t="s">
        <v>364</v>
      </c>
      <c r="C45">
        <v>396</v>
      </c>
      <c r="G45">
        <v>462</v>
      </c>
    </row>
    <row r="47" spans="1:8" x14ac:dyDescent="0.25">
      <c r="A47" s="2" t="s">
        <v>377</v>
      </c>
    </row>
    <row r="49" spans="2:10" x14ac:dyDescent="0.25">
      <c r="B49" t="s">
        <v>382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378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379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383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378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379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401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380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381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384</v>
      </c>
    </row>
    <row r="65" spans="2:15" x14ac:dyDescent="0.25">
      <c r="C65" t="s">
        <v>225</v>
      </c>
      <c r="D65" t="s">
        <v>220</v>
      </c>
    </row>
    <row r="66" spans="2:15" x14ac:dyDescent="0.25">
      <c r="B66" t="s">
        <v>153</v>
      </c>
      <c r="C66">
        <v>313</v>
      </c>
      <c r="D66">
        <v>348</v>
      </c>
    </row>
    <row r="67" spans="2:15" x14ac:dyDescent="0.25">
      <c r="B67" t="s">
        <v>158</v>
      </c>
      <c r="C67">
        <v>396</v>
      </c>
      <c r="D67">
        <v>456</v>
      </c>
    </row>
    <row r="69" spans="2:15" x14ac:dyDescent="0.25">
      <c r="B69" t="s">
        <v>366</v>
      </c>
    </row>
    <row r="70" spans="2:15" x14ac:dyDescent="0.25">
      <c r="B70" t="s">
        <v>158</v>
      </c>
      <c r="F70" t="s">
        <v>1029</v>
      </c>
      <c r="J70" s="37" t="s">
        <v>1028</v>
      </c>
      <c r="K70" s="37"/>
      <c r="L70" s="37"/>
    </row>
    <row r="71" spans="2:15" x14ac:dyDescent="0.25">
      <c r="B71" t="s">
        <v>80</v>
      </c>
      <c r="C71" t="s">
        <v>218</v>
      </c>
      <c r="D71" t="s">
        <v>220</v>
      </c>
      <c r="F71" t="s">
        <v>249</v>
      </c>
      <c r="G71" t="s">
        <v>218</v>
      </c>
      <c r="H71" t="s">
        <v>220</v>
      </c>
      <c r="J71" s="37" t="s">
        <v>249</v>
      </c>
      <c r="K71" s="37" t="s">
        <v>218</v>
      </c>
      <c r="L71" s="37" t="s">
        <v>220</v>
      </c>
    </row>
    <row r="72" spans="2:15" x14ac:dyDescent="0.25">
      <c r="B72" t="s">
        <v>344</v>
      </c>
      <c r="C72" s="6">
        <v>9.5000000000000001E-2</v>
      </c>
      <c r="D72" s="6">
        <v>0.1226</v>
      </c>
      <c r="F72" t="s">
        <v>344</v>
      </c>
      <c r="G72" s="6">
        <v>5.0099999999999999E-2</v>
      </c>
      <c r="H72" s="6">
        <v>6.3200000000000006E-2</v>
      </c>
      <c r="J72" s="37" t="s">
        <v>344</v>
      </c>
      <c r="K72" s="6">
        <v>5.0099999999999999E-2</v>
      </c>
      <c r="L72" s="6">
        <v>6.3200000000000006E-2</v>
      </c>
      <c r="O72">
        <f>(K73 * 0.8)+(K72* 0.2)</f>
        <v>1.4420000000000002E-2</v>
      </c>
    </row>
    <row r="73" spans="2:15" x14ac:dyDescent="0.25">
      <c r="B73" s="15" t="s">
        <v>345</v>
      </c>
      <c r="C73" s="6">
        <v>1.29E-2</v>
      </c>
      <c r="D73" s="6">
        <v>1.52E-2</v>
      </c>
      <c r="F73" s="15" t="s">
        <v>345</v>
      </c>
      <c r="G73" s="25">
        <v>1.4420000000000002E-2</v>
      </c>
      <c r="H73" s="25">
        <v>1.8000000000000002E-2</v>
      </c>
      <c r="J73" s="22" t="s">
        <v>345</v>
      </c>
      <c r="K73" s="6">
        <v>5.4999999999999997E-3</v>
      </c>
      <c r="L73" s="6">
        <v>6.7000000000000002E-3</v>
      </c>
    </row>
    <row r="74" spans="2:15" x14ac:dyDescent="0.25">
      <c r="B74" s="15" t="s">
        <v>346</v>
      </c>
      <c r="C74" s="6">
        <v>2.3999999999999998E-3</v>
      </c>
      <c r="D74" s="6">
        <v>3.3999999999999998E-3</v>
      </c>
      <c r="F74" s="15" t="s">
        <v>346</v>
      </c>
      <c r="G74" s="6">
        <v>2.3E-3</v>
      </c>
      <c r="H74" s="6">
        <v>3.0000000000000001E-3</v>
      </c>
      <c r="J74" s="22" t="s">
        <v>346</v>
      </c>
      <c r="K74" s="6">
        <v>2.3E-3</v>
      </c>
      <c r="L74" s="6">
        <v>3.0000000000000001E-3</v>
      </c>
    </row>
    <row r="75" spans="2:15" x14ac:dyDescent="0.25">
      <c r="B75" s="15" t="s">
        <v>347</v>
      </c>
      <c r="C75" s="6">
        <v>2.8999999999999998E-3</v>
      </c>
      <c r="D75" s="6">
        <v>3.8999999999999998E-3</v>
      </c>
      <c r="F75" s="15" t="s">
        <v>347</v>
      </c>
      <c r="G75" s="6">
        <v>2.3999999999999998E-3</v>
      </c>
      <c r="H75" s="6">
        <v>2.8999999999999998E-3</v>
      </c>
      <c r="J75" s="22" t="s">
        <v>347</v>
      </c>
      <c r="K75" s="6">
        <v>2.3999999999999998E-3</v>
      </c>
      <c r="L75" s="6">
        <v>2.8999999999999998E-3</v>
      </c>
    </row>
    <row r="76" spans="2:15" x14ac:dyDescent="0.25">
      <c r="B76" s="15" t="s">
        <v>348</v>
      </c>
      <c r="C76" s="6">
        <v>1.9E-3</v>
      </c>
      <c r="D76" s="6">
        <v>2.7000000000000001E-3</v>
      </c>
      <c r="F76" s="15" t="s">
        <v>348</v>
      </c>
      <c r="G76" s="6">
        <v>1.8E-3</v>
      </c>
      <c r="H76" s="6">
        <v>2.5000000000000001E-3</v>
      </c>
      <c r="J76" s="22" t="s">
        <v>348</v>
      </c>
      <c r="K76" s="6">
        <v>1.8E-3</v>
      </c>
      <c r="L76" s="6">
        <v>2.5000000000000001E-3</v>
      </c>
    </row>
    <row r="77" spans="2:15" x14ac:dyDescent="0.25">
      <c r="B77" s="15" t="s">
        <v>349</v>
      </c>
      <c r="C77" s="6">
        <v>3.5999999999999999E-3</v>
      </c>
      <c r="D77" s="6">
        <v>3.8E-3</v>
      </c>
      <c r="F77" s="15" t="s">
        <v>349</v>
      </c>
      <c r="G77" s="6">
        <v>3.0000000000000001E-3</v>
      </c>
      <c r="H77" s="6">
        <v>3.5000000000000001E-3</v>
      </c>
      <c r="J77" s="22" t="s">
        <v>349</v>
      </c>
      <c r="K77" s="6">
        <v>3.0000000000000001E-3</v>
      </c>
      <c r="L77" s="6">
        <v>3.5000000000000001E-3</v>
      </c>
    </row>
    <row r="78" spans="2:15" x14ac:dyDescent="0.25">
      <c r="B78" s="15" t="s">
        <v>350</v>
      </c>
      <c r="C78" s="6">
        <v>7.4000000000000003E-3</v>
      </c>
      <c r="D78" s="6">
        <v>6.4000000000000003E-3</v>
      </c>
      <c r="F78" s="15" t="s">
        <v>350</v>
      </c>
      <c r="G78" s="6">
        <v>5.5999999999999999E-3</v>
      </c>
      <c r="H78" s="6">
        <v>4.7999999999999996E-3</v>
      </c>
      <c r="J78" s="22" t="s">
        <v>350</v>
      </c>
      <c r="K78" s="6">
        <v>5.5999999999999999E-3</v>
      </c>
      <c r="L78" s="6">
        <v>4.7999999999999996E-3</v>
      </c>
    </row>
    <row r="79" spans="2:15" x14ac:dyDescent="0.25">
      <c r="B79" s="15" t="s">
        <v>351</v>
      </c>
      <c r="C79" s="6">
        <v>1.47E-2</v>
      </c>
      <c r="D79" s="6">
        <v>1.18E-2</v>
      </c>
      <c r="F79" s="15" t="s">
        <v>351</v>
      </c>
      <c r="G79" s="6">
        <v>1.0699999999999999E-2</v>
      </c>
      <c r="H79" s="6">
        <v>7.7000000000000002E-3</v>
      </c>
      <c r="J79" s="22" t="s">
        <v>351</v>
      </c>
      <c r="K79" s="6">
        <v>1.0699999999999999E-2</v>
      </c>
      <c r="L79" s="6">
        <v>7.7000000000000002E-3</v>
      </c>
    </row>
    <row r="80" spans="2:15" x14ac:dyDescent="0.25">
      <c r="B80" s="15" t="s">
        <v>352</v>
      </c>
      <c r="C80" s="6">
        <v>1.9199999999999998E-2</v>
      </c>
      <c r="D80" s="6">
        <v>2.06E-2</v>
      </c>
      <c r="F80" s="15" t="s">
        <v>352</v>
      </c>
      <c r="G80" s="6">
        <v>1.38E-2</v>
      </c>
      <c r="H80" s="6">
        <v>1.2200000000000001E-2</v>
      </c>
      <c r="J80" s="22" t="s">
        <v>352</v>
      </c>
      <c r="K80" s="6">
        <v>1.38E-2</v>
      </c>
      <c r="L80" s="6">
        <v>1.2200000000000001E-2</v>
      </c>
    </row>
    <row r="81" spans="2:12" x14ac:dyDescent="0.25">
      <c r="B81" s="15" t="s">
        <v>353</v>
      </c>
      <c r="C81" s="6">
        <v>1.4500000000000001E-2</v>
      </c>
      <c r="D81" s="6">
        <v>2.1100000000000001E-2</v>
      </c>
      <c r="F81" s="15" t="s">
        <v>353</v>
      </c>
      <c r="G81" s="6">
        <v>1.0999999999999999E-2</v>
      </c>
      <c r="H81" s="6">
        <v>1.32E-2</v>
      </c>
      <c r="J81" s="22" t="s">
        <v>353</v>
      </c>
      <c r="K81" s="6">
        <v>1.0999999999999999E-2</v>
      </c>
      <c r="L81" s="6">
        <v>1.32E-2</v>
      </c>
    </row>
    <row r="82" spans="2:12" x14ac:dyDescent="0.25">
      <c r="B82" s="15" t="s">
        <v>354</v>
      </c>
      <c r="C82" s="6">
        <v>1.29E-2</v>
      </c>
      <c r="D82" s="6">
        <v>2.1499999999999998E-2</v>
      </c>
      <c r="F82" s="15" t="s">
        <v>354</v>
      </c>
      <c r="G82" s="6">
        <v>1.01E-2</v>
      </c>
      <c r="H82" s="6">
        <v>1.4E-2</v>
      </c>
      <c r="J82" s="22" t="s">
        <v>354</v>
      </c>
      <c r="K82" s="6">
        <v>1.01E-2</v>
      </c>
      <c r="L82" s="6">
        <v>1.4E-2</v>
      </c>
    </row>
    <row r="83" spans="2:12" x14ac:dyDescent="0.25">
      <c r="B83" s="15" t="s">
        <v>355</v>
      </c>
      <c r="C83" s="6">
        <v>1.0200000000000001E-2</v>
      </c>
      <c r="D83" s="6">
        <v>1.7100000000000001E-2</v>
      </c>
      <c r="F83" s="15" t="s">
        <v>355</v>
      </c>
      <c r="G83" s="6">
        <v>8.9999999999999993E-3</v>
      </c>
      <c r="H83" s="6">
        <v>1.3299999999999999E-2</v>
      </c>
      <c r="J83" s="22" t="s">
        <v>355</v>
      </c>
      <c r="K83" s="6">
        <v>8.9999999999999993E-3</v>
      </c>
      <c r="L83" s="6">
        <v>1.3299999999999999E-2</v>
      </c>
    </row>
    <row r="84" spans="2:12" x14ac:dyDescent="0.25">
      <c r="B84" s="15" t="s">
        <v>356</v>
      </c>
      <c r="C84" s="6">
        <v>1.12E-2</v>
      </c>
      <c r="D84" s="6">
        <v>1.6799999999999999E-2</v>
      </c>
      <c r="F84" s="15" t="s">
        <v>356</v>
      </c>
      <c r="G84" s="6">
        <v>1.0200000000000001E-2</v>
      </c>
      <c r="H84" s="6">
        <v>1.46E-2</v>
      </c>
      <c r="J84" s="22" t="s">
        <v>356</v>
      </c>
      <c r="K84" s="6">
        <v>1.0200000000000001E-2</v>
      </c>
      <c r="L84" s="6">
        <v>1.46E-2</v>
      </c>
    </row>
    <row r="85" spans="2:12" x14ac:dyDescent="0.25">
      <c r="B85" s="15" t="s">
        <v>357</v>
      </c>
      <c r="C85" s="6">
        <v>1.5299999999999999E-2</v>
      </c>
      <c r="D85" s="6">
        <v>2.1600000000000001E-2</v>
      </c>
      <c r="F85" s="15" t="s">
        <v>357</v>
      </c>
      <c r="G85" s="6">
        <v>1.46E-2</v>
      </c>
      <c r="H85" s="6">
        <v>2.0299999999999999E-2</v>
      </c>
      <c r="J85" s="22" t="s">
        <v>357</v>
      </c>
      <c r="K85" s="6">
        <v>1.46E-2</v>
      </c>
      <c r="L85" s="6">
        <v>2.0299999999999999E-2</v>
      </c>
    </row>
    <row r="86" spans="2:12" x14ac:dyDescent="0.25">
      <c r="B86" s="15" t="s">
        <v>358</v>
      </c>
      <c r="C86" s="6">
        <v>2.41E-2</v>
      </c>
      <c r="D86" s="6">
        <v>3.1399999999999997E-2</v>
      </c>
      <c r="F86" s="15" t="s">
        <v>358</v>
      </c>
      <c r="G86" s="6">
        <v>2.3099999999999999E-2</v>
      </c>
      <c r="H86" s="6">
        <v>0.03</v>
      </c>
      <c r="J86" s="22" t="s">
        <v>358</v>
      </c>
      <c r="K86" s="6">
        <v>2.3099999999999999E-2</v>
      </c>
      <c r="L86" s="6">
        <v>0.03</v>
      </c>
    </row>
    <row r="87" spans="2:12" x14ac:dyDescent="0.25">
      <c r="B87" s="15" t="s">
        <v>359</v>
      </c>
      <c r="C87" s="6">
        <v>4.0399999999999998E-2</v>
      </c>
      <c r="D87" s="6">
        <v>4.7600000000000003E-2</v>
      </c>
      <c r="F87" s="15" t="s">
        <v>359</v>
      </c>
      <c r="G87" s="6">
        <v>3.78E-2</v>
      </c>
      <c r="H87" s="6">
        <v>4.6600000000000003E-2</v>
      </c>
      <c r="J87" s="22" t="s">
        <v>359</v>
      </c>
      <c r="K87" s="6">
        <v>3.78E-2</v>
      </c>
      <c r="L87" s="6">
        <v>4.6600000000000003E-2</v>
      </c>
    </row>
    <row r="88" spans="2:12" x14ac:dyDescent="0.25">
      <c r="B88" s="15" t="s">
        <v>360</v>
      </c>
      <c r="C88" s="6">
        <v>7.1400000000000005E-2</v>
      </c>
      <c r="D88" s="6">
        <v>7.5899999999999995E-2</v>
      </c>
      <c r="F88" s="15" t="s">
        <v>360</v>
      </c>
      <c r="G88" s="6">
        <v>6.3100000000000003E-2</v>
      </c>
      <c r="H88" s="6">
        <v>7.4999999999999997E-2</v>
      </c>
      <c r="J88" s="22" t="s">
        <v>360</v>
      </c>
      <c r="K88" s="6">
        <v>6.3100000000000003E-2</v>
      </c>
      <c r="L88" s="6">
        <v>7.4999999999999997E-2</v>
      </c>
    </row>
    <row r="89" spans="2:12" x14ac:dyDescent="0.25">
      <c r="B89" s="15" t="s">
        <v>331</v>
      </c>
      <c r="C89" s="6">
        <v>0.2152</v>
      </c>
      <c r="D89" s="6">
        <v>0.22819999999999999</v>
      </c>
      <c r="F89" s="15" t="s">
        <v>331</v>
      </c>
      <c r="G89" s="6">
        <v>0.21279999999999999</v>
      </c>
      <c r="H89" s="6">
        <v>0.2495</v>
      </c>
      <c r="J89" s="22" t="s">
        <v>331</v>
      </c>
      <c r="K89" s="6">
        <v>0.21279999999999999</v>
      </c>
      <c r="L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146" workbookViewId="0">
      <selection activeCell="D163" sqref="D163"/>
    </sheetView>
  </sheetViews>
  <sheetFormatPr defaultRowHeight="15" x14ac:dyDescent="0.25"/>
  <cols>
    <col min="3" max="3" width="11" bestFit="1" customWidth="1"/>
    <col min="4" max="4" width="15.7109375" bestFit="1" customWidth="1"/>
    <col min="5" max="5" width="11.28515625" bestFit="1" customWidth="1"/>
  </cols>
  <sheetData>
    <row r="1" spans="1:8" x14ac:dyDescent="0.25">
      <c r="A1" s="2" t="s">
        <v>561</v>
      </c>
    </row>
    <row r="2" spans="1:8" x14ac:dyDescent="0.25">
      <c r="A2" t="s">
        <v>576</v>
      </c>
      <c r="B2" t="s">
        <v>287</v>
      </c>
      <c r="C2" t="s">
        <v>247</v>
      </c>
      <c r="D2" t="s">
        <v>249</v>
      </c>
      <c r="E2" t="s">
        <v>252</v>
      </c>
      <c r="F2" t="s">
        <v>251</v>
      </c>
    </row>
    <row r="3" spans="1:8" x14ac:dyDescent="0.25">
      <c r="A3" t="s">
        <v>578</v>
      </c>
      <c r="B3" t="s">
        <v>288</v>
      </c>
      <c r="C3" t="s">
        <v>248</v>
      </c>
      <c r="D3" t="s">
        <v>250</v>
      </c>
      <c r="E3" s="11" t="s">
        <v>253</v>
      </c>
      <c r="F3" s="12">
        <v>0.113</v>
      </c>
      <c r="H3" t="s">
        <v>560</v>
      </c>
    </row>
    <row r="4" spans="1:8" x14ac:dyDescent="0.25">
      <c r="D4" t="s">
        <v>557</v>
      </c>
      <c r="E4" s="11" t="s">
        <v>253</v>
      </c>
      <c r="F4" s="12">
        <v>9.4E-2</v>
      </c>
    </row>
    <row r="5" spans="1:8" x14ac:dyDescent="0.25">
      <c r="D5" t="s">
        <v>558</v>
      </c>
      <c r="E5" s="11" t="s">
        <v>253</v>
      </c>
      <c r="F5" s="13">
        <v>0.11</v>
      </c>
    </row>
    <row r="6" spans="1:8" x14ac:dyDescent="0.25">
      <c r="D6" t="s">
        <v>559</v>
      </c>
      <c r="E6" s="11" t="s">
        <v>253</v>
      </c>
      <c r="F6" s="12">
        <v>0.155</v>
      </c>
    </row>
    <row r="7" spans="1:8" x14ac:dyDescent="0.25">
      <c r="D7" s="21" t="s">
        <v>250</v>
      </c>
      <c r="E7" s="11" t="s">
        <v>254</v>
      </c>
      <c r="F7" s="12">
        <v>0.14299999999999999</v>
      </c>
    </row>
    <row r="8" spans="1:8" x14ac:dyDescent="0.25">
      <c r="D8" s="21" t="s">
        <v>557</v>
      </c>
      <c r="E8" s="11" t="s">
        <v>254</v>
      </c>
      <c r="F8" s="12">
        <v>0.17799999999999999</v>
      </c>
    </row>
    <row r="9" spans="1:8" x14ac:dyDescent="0.25">
      <c r="D9" s="21" t="s">
        <v>558</v>
      </c>
      <c r="E9" s="11" t="s">
        <v>254</v>
      </c>
      <c r="F9" s="12">
        <v>0.22800000000000001</v>
      </c>
    </row>
    <row r="10" spans="1:8" x14ac:dyDescent="0.25">
      <c r="D10" s="21" t="s">
        <v>559</v>
      </c>
      <c r="E10" s="11" t="s">
        <v>254</v>
      </c>
      <c r="F10" s="12">
        <v>0.13200000000000001</v>
      </c>
    </row>
    <row r="11" spans="1:8" x14ac:dyDescent="0.25">
      <c r="D11" s="21" t="s">
        <v>250</v>
      </c>
      <c r="E11" t="s">
        <v>255</v>
      </c>
      <c r="F11" s="12">
        <v>0.16500000000000001</v>
      </c>
    </row>
    <row r="12" spans="1:8" x14ac:dyDescent="0.25">
      <c r="D12" s="21" t="s">
        <v>557</v>
      </c>
      <c r="E12" s="21" t="s">
        <v>255</v>
      </c>
      <c r="F12" s="12">
        <v>9.4E-2</v>
      </c>
    </row>
    <row r="13" spans="1:8" x14ac:dyDescent="0.25">
      <c r="D13" s="21" t="s">
        <v>558</v>
      </c>
      <c r="E13" s="21" t="s">
        <v>255</v>
      </c>
      <c r="F13" s="12">
        <v>0.11799999999999999</v>
      </c>
    </row>
    <row r="14" spans="1:8" x14ac:dyDescent="0.25">
      <c r="D14" s="21" t="s">
        <v>559</v>
      </c>
      <c r="E14" s="21" t="s">
        <v>255</v>
      </c>
      <c r="F14" s="12">
        <v>0.14000000000000001</v>
      </c>
    </row>
    <row r="15" spans="1:8" x14ac:dyDescent="0.25">
      <c r="D15" t="s">
        <v>256</v>
      </c>
      <c r="E15" s="11" t="s">
        <v>257</v>
      </c>
      <c r="F15" s="12">
        <v>0.41899999999999998</v>
      </c>
    </row>
    <row r="16" spans="1:8" x14ac:dyDescent="0.25">
      <c r="D16" s="21" t="s">
        <v>256</v>
      </c>
      <c r="E16" s="11" t="s">
        <v>258</v>
      </c>
      <c r="F16" s="12">
        <v>0.28799999999999998</v>
      </c>
    </row>
    <row r="17" spans="1:8" s="21" customFormat="1" x14ac:dyDescent="0.25">
      <c r="D17" s="21" t="s">
        <v>256</v>
      </c>
      <c r="E17" s="11" t="s">
        <v>259</v>
      </c>
      <c r="F17" s="12">
        <v>7.6999999999999999E-2</v>
      </c>
    </row>
    <row r="18" spans="1:8" s="21" customFormat="1" x14ac:dyDescent="0.25">
      <c r="D18" s="21" t="s">
        <v>256</v>
      </c>
      <c r="E18" s="11" t="s">
        <v>260</v>
      </c>
      <c r="F18" s="12">
        <v>4.5999999999999999E-2</v>
      </c>
    </row>
    <row r="19" spans="1:8" s="21" customFormat="1" x14ac:dyDescent="0.25">
      <c r="D19" s="21" t="s">
        <v>256</v>
      </c>
      <c r="E19" s="11" t="s">
        <v>261</v>
      </c>
      <c r="F19" s="12">
        <v>1.7999999999999999E-2</v>
      </c>
    </row>
    <row r="20" spans="1:8" s="21" customFormat="1" x14ac:dyDescent="0.25">
      <c r="D20" s="21" t="s">
        <v>256</v>
      </c>
      <c r="E20" s="11" t="s">
        <v>262</v>
      </c>
      <c r="F20" s="12">
        <v>0.03</v>
      </c>
    </row>
    <row r="21" spans="1:8" s="21" customFormat="1" x14ac:dyDescent="0.25">
      <c r="D21" s="21" t="s">
        <v>256</v>
      </c>
      <c r="E21" s="11" t="s">
        <v>263</v>
      </c>
      <c r="F21" s="12">
        <v>2.1999999999999999E-2</v>
      </c>
    </row>
    <row r="22" spans="1:8" s="21" customFormat="1" x14ac:dyDescent="0.25">
      <c r="D22" s="21" t="s">
        <v>256</v>
      </c>
      <c r="E22" s="11" t="s">
        <v>264</v>
      </c>
      <c r="F22" s="12">
        <v>0.04</v>
      </c>
    </row>
    <row r="23" spans="1:8" s="21" customFormat="1" x14ac:dyDescent="0.25">
      <c r="D23" s="21" t="s">
        <v>256</v>
      </c>
      <c r="E23" s="11" t="s">
        <v>265</v>
      </c>
      <c r="F23" s="12">
        <v>0.105</v>
      </c>
    </row>
    <row r="24" spans="1:8" s="21" customFormat="1" x14ac:dyDescent="0.25">
      <c r="D24" s="21" t="s">
        <v>256</v>
      </c>
      <c r="E24" s="11" t="s">
        <v>268</v>
      </c>
      <c r="F24" s="12">
        <v>8.5000000000000006E-2</v>
      </c>
    </row>
    <row r="25" spans="1:8" s="21" customFormat="1" x14ac:dyDescent="0.25">
      <c r="D25" s="21" t="s">
        <v>256</v>
      </c>
      <c r="E25" t="s">
        <v>266</v>
      </c>
      <c r="F25" s="12">
        <v>4.3999999999999997E-2</v>
      </c>
    </row>
    <row r="27" spans="1:8" x14ac:dyDescent="0.25">
      <c r="A27" s="2" t="s">
        <v>587</v>
      </c>
    </row>
    <row r="28" spans="1:8" x14ac:dyDescent="0.25">
      <c r="A28" t="s">
        <v>571</v>
      </c>
      <c r="B28" t="s">
        <v>289</v>
      </c>
      <c r="C28" t="s">
        <v>247</v>
      </c>
      <c r="D28" t="s">
        <v>249</v>
      </c>
      <c r="E28" t="s">
        <v>252</v>
      </c>
      <c r="F28" t="s">
        <v>251</v>
      </c>
    </row>
    <row r="29" spans="1:8" x14ac:dyDescent="0.25">
      <c r="A29" t="s">
        <v>577</v>
      </c>
      <c r="B29" t="s">
        <v>290</v>
      </c>
      <c r="C29" t="s">
        <v>269</v>
      </c>
      <c r="D29" t="s">
        <v>270</v>
      </c>
      <c r="E29" s="11" t="s">
        <v>257</v>
      </c>
      <c r="F29" t="s">
        <v>271</v>
      </c>
      <c r="H29" t="s">
        <v>562</v>
      </c>
    </row>
    <row r="30" spans="1:8" x14ac:dyDescent="0.25">
      <c r="D30" s="21" t="s">
        <v>270</v>
      </c>
      <c r="E30" s="11" t="s">
        <v>259</v>
      </c>
      <c r="F30" t="s">
        <v>272</v>
      </c>
    </row>
    <row r="31" spans="1:8" x14ac:dyDescent="0.25">
      <c r="D31" s="21" t="s">
        <v>270</v>
      </c>
      <c r="E31" s="11" t="s">
        <v>260</v>
      </c>
      <c r="F31" t="s">
        <v>273</v>
      </c>
    </row>
    <row r="32" spans="1:8" x14ac:dyDescent="0.25">
      <c r="D32" s="21" t="s">
        <v>270</v>
      </c>
      <c r="E32" s="11" t="s">
        <v>261</v>
      </c>
      <c r="F32" t="s">
        <v>274</v>
      </c>
    </row>
    <row r="33" spans="4:12" x14ac:dyDescent="0.25">
      <c r="D33" s="21" t="s">
        <v>270</v>
      </c>
      <c r="E33" s="11" t="s">
        <v>262</v>
      </c>
      <c r="F33" t="s">
        <v>275</v>
      </c>
    </row>
    <row r="34" spans="4:12" x14ac:dyDescent="0.25">
      <c r="D34" s="21" t="s">
        <v>270</v>
      </c>
      <c r="E34" s="11" t="s">
        <v>263</v>
      </c>
      <c r="F34" t="s">
        <v>267</v>
      </c>
    </row>
    <row r="35" spans="4:12" x14ac:dyDescent="0.25">
      <c r="D35" s="21" t="s">
        <v>270</v>
      </c>
      <c r="E35" s="11" t="s">
        <v>264</v>
      </c>
      <c r="F35" t="s">
        <v>276</v>
      </c>
    </row>
    <row r="36" spans="4:12" x14ac:dyDescent="0.25">
      <c r="D36" s="21" t="s">
        <v>270</v>
      </c>
      <c r="E36" s="11" t="s">
        <v>265</v>
      </c>
      <c r="F36" t="s">
        <v>277</v>
      </c>
    </row>
    <row r="37" spans="4:12" x14ac:dyDescent="0.25">
      <c r="D37" s="21" t="s">
        <v>270</v>
      </c>
      <c r="E37" s="11" t="s">
        <v>286</v>
      </c>
      <c r="F37" t="s">
        <v>278</v>
      </c>
    </row>
    <row r="38" spans="4:12" x14ac:dyDescent="0.25">
      <c r="D38" s="21" t="s">
        <v>270</v>
      </c>
      <c r="E38" s="11" t="s">
        <v>282</v>
      </c>
      <c r="F38" t="s">
        <v>279</v>
      </c>
      <c r="L38" s="32" t="s">
        <v>555</v>
      </c>
    </row>
    <row r="39" spans="4:12" x14ac:dyDescent="0.25">
      <c r="D39" s="21" t="s">
        <v>270</v>
      </c>
      <c r="E39" s="11" t="s">
        <v>283</v>
      </c>
      <c r="F39" t="s">
        <v>280</v>
      </c>
    </row>
    <row r="40" spans="4:12" x14ac:dyDescent="0.25">
      <c r="D40" s="21" t="s">
        <v>270</v>
      </c>
      <c r="E40" s="11" t="s">
        <v>284</v>
      </c>
      <c r="F40" t="s">
        <v>281</v>
      </c>
    </row>
    <row r="41" spans="4:12" x14ac:dyDescent="0.25">
      <c r="D41" s="21" t="s">
        <v>270</v>
      </c>
      <c r="E41" t="s">
        <v>285</v>
      </c>
      <c r="F41" s="12">
        <v>2.3E-3</v>
      </c>
    </row>
    <row r="42" spans="4:12" s="21" customFormat="1" x14ac:dyDescent="0.25">
      <c r="D42" s="21" t="s">
        <v>139</v>
      </c>
      <c r="E42" s="11" t="s">
        <v>258</v>
      </c>
      <c r="F42" s="12">
        <v>0.41360000000000002</v>
      </c>
      <c r="H42" s="40">
        <f t="shared" ref="H42:H47" si="0">F42*100</f>
        <v>41.36</v>
      </c>
    </row>
    <row r="43" spans="4:12" s="21" customFormat="1" x14ac:dyDescent="0.25">
      <c r="D43" s="21" t="s">
        <v>140</v>
      </c>
      <c r="E43" s="11" t="s">
        <v>258</v>
      </c>
      <c r="F43" s="12">
        <v>0.2772</v>
      </c>
      <c r="H43" s="40">
        <f t="shared" si="0"/>
        <v>27.72</v>
      </c>
    </row>
    <row r="44" spans="4:12" s="21" customFormat="1" x14ac:dyDescent="0.25">
      <c r="D44" s="21" t="s">
        <v>141</v>
      </c>
      <c r="E44" s="11" t="s">
        <v>258</v>
      </c>
      <c r="F44" s="12">
        <v>0.40910000000000002</v>
      </c>
      <c r="H44" s="40">
        <f t="shared" si="0"/>
        <v>40.910000000000004</v>
      </c>
    </row>
    <row r="45" spans="4:12" s="21" customFormat="1" x14ac:dyDescent="0.25">
      <c r="D45" s="21" t="s">
        <v>142</v>
      </c>
      <c r="E45" s="11" t="s">
        <v>258</v>
      </c>
      <c r="F45" s="12">
        <v>0.18640000000000001</v>
      </c>
      <c r="H45" s="40">
        <f t="shared" si="0"/>
        <v>18.64</v>
      </c>
    </row>
    <row r="46" spans="4:12" s="21" customFormat="1" x14ac:dyDescent="0.25">
      <c r="D46" s="21" t="s">
        <v>143</v>
      </c>
      <c r="E46" s="11" t="s">
        <v>258</v>
      </c>
      <c r="F46" s="12">
        <v>0.2432</v>
      </c>
      <c r="H46" s="40">
        <f t="shared" si="0"/>
        <v>24.32</v>
      </c>
    </row>
    <row r="47" spans="4:12" s="21" customFormat="1" x14ac:dyDescent="0.25">
      <c r="D47" s="21" t="s">
        <v>395</v>
      </c>
      <c r="E47" s="11" t="s">
        <v>258</v>
      </c>
      <c r="F47" s="12">
        <v>8.4099999999999994E-2</v>
      </c>
      <c r="H47" s="40">
        <f t="shared" si="0"/>
        <v>8.41</v>
      </c>
    </row>
    <row r="48" spans="4:12" s="21" customFormat="1" x14ac:dyDescent="0.25">
      <c r="D48" s="21" t="s">
        <v>139</v>
      </c>
      <c r="E48" s="11" t="s">
        <v>257</v>
      </c>
      <c r="F48" s="12">
        <v>0.57899999999999996</v>
      </c>
    </row>
    <row r="49" spans="4:6" s="21" customFormat="1" x14ac:dyDescent="0.25">
      <c r="D49" s="21" t="s">
        <v>140</v>
      </c>
      <c r="E49" s="11" t="s">
        <v>257</v>
      </c>
      <c r="F49" s="12">
        <v>0.42</v>
      </c>
    </row>
    <row r="50" spans="4:6" s="21" customFormat="1" x14ac:dyDescent="0.25">
      <c r="D50" s="21" t="s">
        <v>141</v>
      </c>
      <c r="E50" s="11" t="s">
        <v>257</v>
      </c>
      <c r="F50" s="12">
        <v>0.53180000000000005</v>
      </c>
    </row>
    <row r="51" spans="4:6" s="21" customFormat="1" x14ac:dyDescent="0.25">
      <c r="D51" s="21" t="s">
        <v>142</v>
      </c>
      <c r="E51" s="11" t="s">
        <v>257</v>
      </c>
      <c r="F51" s="12">
        <v>0.29320000000000002</v>
      </c>
    </row>
    <row r="52" spans="4:6" s="21" customFormat="1" x14ac:dyDescent="0.25">
      <c r="D52" s="21" t="s">
        <v>143</v>
      </c>
      <c r="E52" s="11" t="s">
        <v>257</v>
      </c>
      <c r="F52" s="12">
        <v>0.36359999999999998</v>
      </c>
    </row>
    <row r="53" spans="4:6" s="21" customFormat="1" x14ac:dyDescent="0.25">
      <c r="D53" s="21" t="s">
        <v>395</v>
      </c>
      <c r="E53" s="11" t="s">
        <v>257</v>
      </c>
      <c r="F53" s="12">
        <v>0.25</v>
      </c>
    </row>
    <row r="54" spans="4:6" s="21" customFormat="1" x14ac:dyDescent="0.25">
      <c r="D54" s="21" t="s">
        <v>139</v>
      </c>
      <c r="E54" s="11" t="s">
        <v>551</v>
      </c>
      <c r="F54" s="12">
        <v>0.14499999999999999</v>
      </c>
    </row>
    <row r="55" spans="4:6" s="21" customFormat="1" x14ac:dyDescent="0.25">
      <c r="D55" s="21" t="s">
        <v>140</v>
      </c>
      <c r="E55" s="11" t="s">
        <v>551</v>
      </c>
      <c r="F55" s="12">
        <v>9.7000000000000003E-2</v>
      </c>
    </row>
    <row r="56" spans="4:6" s="21" customFormat="1" x14ac:dyDescent="0.25">
      <c r="D56" s="21" t="s">
        <v>141</v>
      </c>
      <c r="E56" s="11" t="s">
        <v>551</v>
      </c>
      <c r="F56" s="12">
        <v>5.9299999999999999E-2</v>
      </c>
    </row>
    <row r="57" spans="4:6" s="21" customFormat="1" x14ac:dyDescent="0.25">
      <c r="D57" s="21" t="s">
        <v>142</v>
      </c>
      <c r="E57" s="11" t="s">
        <v>551</v>
      </c>
      <c r="F57" s="12">
        <v>1.4200000000000001E-2</v>
      </c>
    </row>
    <row r="58" spans="4:6" s="21" customFormat="1" x14ac:dyDescent="0.25">
      <c r="D58" s="21" t="s">
        <v>143</v>
      </c>
      <c r="E58" s="11" t="s">
        <v>551</v>
      </c>
      <c r="F58" s="12">
        <v>4.3499999999999997E-2</v>
      </c>
    </row>
    <row r="59" spans="4:6" s="21" customFormat="1" x14ac:dyDescent="0.25">
      <c r="D59" s="21" t="s">
        <v>395</v>
      </c>
      <c r="E59" s="11" t="s">
        <v>551</v>
      </c>
      <c r="F59" s="12">
        <v>8.4099999999999994E-2</v>
      </c>
    </row>
    <row r="60" spans="4:6" s="21" customFormat="1" x14ac:dyDescent="0.25">
      <c r="D60" s="21" t="s">
        <v>139</v>
      </c>
      <c r="E60" s="11" t="s">
        <v>284</v>
      </c>
      <c r="F60" s="12">
        <v>5.2600000000000001E-2</v>
      </c>
    </row>
    <row r="61" spans="4:6" s="21" customFormat="1" x14ac:dyDescent="0.25">
      <c r="D61" s="21" t="s">
        <v>140</v>
      </c>
      <c r="E61" s="11" t="s">
        <v>284</v>
      </c>
      <c r="F61" s="12">
        <v>8.4199999999999997E-2</v>
      </c>
    </row>
    <row r="62" spans="4:6" s="21" customFormat="1" x14ac:dyDescent="0.25">
      <c r="D62" s="21" t="s">
        <v>141</v>
      </c>
      <c r="E62" s="11" t="s">
        <v>284</v>
      </c>
      <c r="F62" s="12">
        <v>8.7999999999999995E-2</v>
      </c>
    </row>
    <row r="63" spans="4:6" s="21" customFormat="1" x14ac:dyDescent="0.25">
      <c r="D63" s="21" t="s">
        <v>142</v>
      </c>
      <c r="E63" s="11" t="s">
        <v>284</v>
      </c>
      <c r="F63" s="12">
        <v>3.15E-2</v>
      </c>
    </row>
    <row r="64" spans="4:6" s="21" customFormat="1" x14ac:dyDescent="0.25">
      <c r="D64" s="21" t="s">
        <v>143</v>
      </c>
      <c r="E64" s="11" t="s">
        <v>284</v>
      </c>
      <c r="F64" s="12">
        <v>4.2700000000000002E-2</v>
      </c>
    </row>
    <row r="65" spans="1:11" s="21" customFormat="1" x14ac:dyDescent="0.25">
      <c r="D65" s="21" t="s">
        <v>395</v>
      </c>
      <c r="E65" s="11" t="s">
        <v>284</v>
      </c>
      <c r="F65" s="12">
        <v>2.8999999999999998E-3</v>
      </c>
    </row>
    <row r="66" spans="1:11" x14ac:dyDescent="0.25">
      <c r="B66" t="s">
        <v>291</v>
      </c>
      <c r="D66" t="s">
        <v>552</v>
      </c>
      <c r="E66" s="11" t="s">
        <v>258</v>
      </c>
      <c r="F66" s="12">
        <v>0.745</v>
      </c>
      <c r="G66">
        <v>60.36</v>
      </c>
      <c r="H66">
        <v>84.88</v>
      </c>
      <c r="I66" t="s">
        <v>554</v>
      </c>
    </row>
    <row r="67" spans="1:11" s="21" customFormat="1" x14ac:dyDescent="0.25">
      <c r="B67" s="21" t="s">
        <v>553</v>
      </c>
      <c r="D67" s="21" t="s">
        <v>552</v>
      </c>
      <c r="E67" s="11" t="s">
        <v>258</v>
      </c>
      <c r="F67" s="12">
        <v>0.249</v>
      </c>
      <c r="G67" s="21">
        <v>20.68</v>
      </c>
      <c r="H67" s="21">
        <v>29.57</v>
      </c>
    </row>
    <row r="68" spans="1:11" s="37" customFormat="1" x14ac:dyDescent="0.25">
      <c r="B68" s="37" t="s">
        <v>651</v>
      </c>
      <c r="D68" s="37" t="s">
        <v>552</v>
      </c>
      <c r="E68" s="11" t="s">
        <v>258</v>
      </c>
      <c r="F68" s="12">
        <v>0.43822843822843821</v>
      </c>
    </row>
    <row r="69" spans="1:11" s="21" customFormat="1" x14ac:dyDescent="0.25">
      <c r="E69" s="11"/>
      <c r="F69" s="12"/>
    </row>
    <row r="70" spans="1:11" x14ac:dyDescent="0.25">
      <c r="A70" s="2" t="s">
        <v>543</v>
      </c>
    </row>
    <row r="71" spans="1:11" x14ac:dyDescent="0.25">
      <c r="A71" t="s">
        <v>576</v>
      </c>
      <c r="B71" t="s">
        <v>289</v>
      </c>
      <c r="C71" t="s">
        <v>247</v>
      </c>
      <c r="D71" t="s">
        <v>249</v>
      </c>
      <c r="E71" t="s">
        <v>252</v>
      </c>
      <c r="F71" t="s">
        <v>251</v>
      </c>
    </row>
    <row r="72" spans="1:11" x14ac:dyDescent="0.25">
      <c r="A72">
        <v>2009</v>
      </c>
      <c r="B72" t="s">
        <v>291</v>
      </c>
      <c r="C72" t="s">
        <v>269</v>
      </c>
      <c r="D72" t="s">
        <v>292</v>
      </c>
      <c r="E72" t="s">
        <v>293</v>
      </c>
      <c r="F72" s="12">
        <v>0.373</v>
      </c>
      <c r="H72" s="11"/>
      <c r="K72">
        <f>125/409</f>
        <v>0.30562347188264061</v>
      </c>
    </row>
    <row r="73" spans="1:11" x14ac:dyDescent="0.25">
      <c r="E73" t="s">
        <v>294</v>
      </c>
      <c r="F73" s="12">
        <v>0.22700000000000001</v>
      </c>
      <c r="H73" s="11"/>
      <c r="K73">
        <f>362-90</f>
        <v>272</v>
      </c>
    </row>
    <row r="74" spans="1:11" x14ac:dyDescent="0.25">
      <c r="E74" t="s">
        <v>257</v>
      </c>
      <c r="F74" s="12">
        <v>0.68700000000000006</v>
      </c>
      <c r="H74" s="11"/>
    </row>
    <row r="75" spans="1:11" x14ac:dyDescent="0.25">
      <c r="E75" t="s">
        <v>258</v>
      </c>
      <c r="F75" s="12">
        <v>0.52600000000000002</v>
      </c>
      <c r="H75" s="11"/>
    </row>
    <row r="76" spans="1:11" s="21" customFormat="1" x14ac:dyDescent="0.25">
      <c r="E76" s="21" t="s">
        <v>544</v>
      </c>
      <c r="F76" s="12">
        <v>0.82299999999999995</v>
      </c>
      <c r="H76" s="11"/>
    </row>
    <row r="77" spans="1:11" s="21" customFormat="1" x14ac:dyDescent="0.25">
      <c r="E77" s="21" t="s">
        <v>545</v>
      </c>
      <c r="F77" s="12">
        <v>0.90300000000000002</v>
      </c>
      <c r="H77" s="11"/>
    </row>
    <row r="78" spans="1:11" x14ac:dyDescent="0.25">
      <c r="E78" t="s">
        <v>253</v>
      </c>
      <c r="F78" s="12">
        <v>0.157</v>
      </c>
      <c r="H78" s="11"/>
    </row>
    <row r="79" spans="1:11" x14ac:dyDescent="0.25">
      <c r="E79" t="s">
        <v>259</v>
      </c>
      <c r="F79" s="12">
        <v>0.108</v>
      </c>
      <c r="H79" s="11"/>
    </row>
    <row r="80" spans="1:11" x14ac:dyDescent="0.25">
      <c r="E80" t="s">
        <v>260</v>
      </c>
      <c r="F80" s="12">
        <v>5.3999999999999999E-2</v>
      </c>
      <c r="H80" s="11"/>
    </row>
    <row r="81" spans="4:8" x14ac:dyDescent="0.25">
      <c r="E81" t="s">
        <v>261</v>
      </c>
      <c r="F81" s="12">
        <v>5.1999999999999998E-2</v>
      </c>
      <c r="H81" s="11"/>
    </row>
    <row r="82" spans="4:8" x14ac:dyDescent="0.25">
      <c r="E82" t="s">
        <v>262</v>
      </c>
      <c r="F82" s="12">
        <v>3.5999999999999997E-2</v>
      </c>
      <c r="H82" s="11"/>
    </row>
    <row r="83" spans="4:8" x14ac:dyDescent="0.25">
      <c r="E83" t="s">
        <v>263</v>
      </c>
      <c r="F83" s="12">
        <v>0.05</v>
      </c>
      <c r="H83" s="11"/>
    </row>
    <row r="84" spans="4:8" x14ac:dyDescent="0.25">
      <c r="E84" t="s">
        <v>264</v>
      </c>
      <c r="F84" s="12">
        <v>7.1999999999999995E-2</v>
      </c>
      <c r="H84" s="11"/>
    </row>
    <row r="85" spans="4:8" x14ac:dyDescent="0.25">
      <c r="E85" t="s">
        <v>265</v>
      </c>
      <c r="F85" s="12">
        <v>5.3999999999999999E-2</v>
      </c>
    </row>
    <row r="86" spans="4:8" x14ac:dyDescent="0.25">
      <c r="D86" t="s">
        <v>295</v>
      </c>
      <c r="E86" s="11" t="s">
        <v>258</v>
      </c>
      <c r="F86" s="12">
        <v>0.61299999999999999</v>
      </c>
    </row>
    <row r="87" spans="4:8" x14ac:dyDescent="0.25">
      <c r="E87" s="11" t="s">
        <v>253</v>
      </c>
      <c r="F87" s="12">
        <v>0.161</v>
      </c>
    </row>
    <row r="88" spans="4:8" x14ac:dyDescent="0.25">
      <c r="E88" t="s">
        <v>296</v>
      </c>
      <c r="F88" s="12">
        <v>0.45200000000000001</v>
      </c>
    </row>
    <row r="89" spans="4:8" s="21" customFormat="1" x14ac:dyDescent="0.25">
      <c r="D89" s="21" t="s">
        <v>546</v>
      </c>
      <c r="E89" s="11" t="s">
        <v>258</v>
      </c>
      <c r="F89" s="12">
        <v>0.53500000000000003</v>
      </c>
    </row>
    <row r="90" spans="4:8" s="21" customFormat="1" x14ac:dyDescent="0.25">
      <c r="E90" s="11" t="s">
        <v>253</v>
      </c>
      <c r="F90" s="12">
        <v>0.16800000000000001</v>
      </c>
    </row>
    <row r="91" spans="4:8" s="21" customFormat="1" x14ac:dyDescent="0.25">
      <c r="E91" s="21" t="s">
        <v>296</v>
      </c>
      <c r="F91" s="12">
        <v>0.36599999999999999</v>
      </c>
    </row>
    <row r="92" spans="4:8" s="21" customFormat="1" x14ac:dyDescent="0.25">
      <c r="D92" s="21" t="s">
        <v>547</v>
      </c>
      <c r="E92" s="11" t="s">
        <v>258</v>
      </c>
      <c r="F92" s="12">
        <v>0.52900000000000003</v>
      </c>
    </row>
    <row r="93" spans="4:8" s="21" customFormat="1" x14ac:dyDescent="0.25">
      <c r="E93" s="11" t="s">
        <v>253</v>
      </c>
      <c r="F93" s="12">
        <v>0.17100000000000001</v>
      </c>
    </row>
    <row r="94" spans="4:8" s="21" customFormat="1" x14ac:dyDescent="0.25">
      <c r="E94" s="21" t="s">
        <v>296</v>
      </c>
      <c r="F94" s="12">
        <v>0.35799999999999998</v>
      </c>
    </row>
    <row r="95" spans="4:8" s="21" customFormat="1" x14ac:dyDescent="0.25">
      <c r="D95" s="21" t="s">
        <v>548</v>
      </c>
      <c r="E95" s="11" t="s">
        <v>258</v>
      </c>
      <c r="F95" s="12">
        <v>0.495</v>
      </c>
    </row>
    <row r="96" spans="4:8" s="21" customFormat="1" x14ac:dyDescent="0.25">
      <c r="E96" s="11" t="s">
        <v>253</v>
      </c>
      <c r="F96" s="12">
        <v>0.13800000000000001</v>
      </c>
    </row>
    <row r="97" spans="1:6" s="21" customFormat="1" x14ac:dyDescent="0.25">
      <c r="E97" s="21" t="s">
        <v>296</v>
      </c>
      <c r="F97" s="12">
        <v>0.35799999999999998</v>
      </c>
    </row>
    <row r="98" spans="1:6" s="21" customFormat="1" x14ac:dyDescent="0.25">
      <c r="D98" s="21" t="s">
        <v>549</v>
      </c>
      <c r="E98" s="11" t="s">
        <v>258</v>
      </c>
      <c r="F98" s="12">
        <v>0.495</v>
      </c>
    </row>
    <row r="99" spans="1:6" s="21" customFormat="1" x14ac:dyDescent="0.25">
      <c r="E99" s="11" t="s">
        <v>253</v>
      </c>
      <c r="F99" s="12">
        <v>0.14599999999999999</v>
      </c>
    </row>
    <row r="100" spans="1:6" s="21" customFormat="1" x14ac:dyDescent="0.25">
      <c r="E100" s="21" t="s">
        <v>296</v>
      </c>
      <c r="F100" s="12">
        <v>0.35</v>
      </c>
    </row>
    <row r="101" spans="1:6" x14ac:dyDescent="0.25">
      <c r="D101" t="s">
        <v>297</v>
      </c>
      <c r="E101" t="s">
        <v>298</v>
      </c>
      <c r="F101" s="13">
        <v>0.4</v>
      </c>
    </row>
    <row r="102" spans="1:6" x14ac:dyDescent="0.25">
      <c r="E102" t="s">
        <v>294</v>
      </c>
      <c r="F102" s="12">
        <v>0.28899999999999998</v>
      </c>
    </row>
    <row r="104" spans="1:6" x14ac:dyDescent="0.25">
      <c r="A104" s="2" t="s">
        <v>550</v>
      </c>
    </row>
    <row r="105" spans="1:6" x14ac:dyDescent="0.25">
      <c r="A105" s="21" t="s">
        <v>571</v>
      </c>
      <c r="B105" t="s">
        <v>289</v>
      </c>
      <c r="C105" t="s">
        <v>247</v>
      </c>
      <c r="D105" t="s">
        <v>249</v>
      </c>
      <c r="E105" t="s">
        <v>252</v>
      </c>
      <c r="F105" t="s">
        <v>251</v>
      </c>
    </row>
    <row r="106" spans="1:6" x14ac:dyDescent="0.25">
      <c r="A106" t="s">
        <v>586</v>
      </c>
      <c r="B106" t="s">
        <v>299</v>
      </c>
      <c r="C106" t="s">
        <v>28</v>
      </c>
      <c r="D106" t="s">
        <v>300</v>
      </c>
      <c r="E106" t="s">
        <v>301</v>
      </c>
      <c r="F106" s="13">
        <v>0.68</v>
      </c>
    </row>
    <row r="107" spans="1:6" x14ac:dyDescent="0.25">
      <c r="B107" t="s">
        <v>302</v>
      </c>
      <c r="E107" t="s">
        <v>301</v>
      </c>
      <c r="F107" s="13">
        <v>0.56999999999999995</v>
      </c>
    </row>
    <row r="108" spans="1:6" x14ac:dyDescent="0.25">
      <c r="B108" t="s">
        <v>303</v>
      </c>
      <c r="E108" t="s">
        <v>301</v>
      </c>
      <c r="F108" s="13">
        <v>0.42</v>
      </c>
    </row>
    <row r="109" spans="1:6" x14ac:dyDescent="0.25">
      <c r="E109" s="11" t="s">
        <v>253</v>
      </c>
      <c r="F109" t="s">
        <v>304</v>
      </c>
    </row>
    <row r="110" spans="1:6" x14ac:dyDescent="0.25">
      <c r="E110" s="11" t="s">
        <v>259</v>
      </c>
      <c r="F110" t="s">
        <v>305</v>
      </c>
    </row>
    <row r="111" spans="1:6" x14ac:dyDescent="0.25">
      <c r="E111" s="11" t="s">
        <v>260</v>
      </c>
      <c r="F111" t="s">
        <v>306</v>
      </c>
    </row>
    <row r="112" spans="1:6" x14ac:dyDescent="0.25">
      <c r="E112" s="11" t="s">
        <v>261</v>
      </c>
      <c r="F112" t="s">
        <v>307</v>
      </c>
    </row>
    <row r="113" spans="1:6" x14ac:dyDescent="0.25">
      <c r="E113" s="11" t="s">
        <v>262</v>
      </c>
      <c r="F113" t="s">
        <v>308</v>
      </c>
    </row>
    <row r="114" spans="1:6" x14ac:dyDescent="0.25">
      <c r="E114" s="11" t="s">
        <v>263</v>
      </c>
      <c r="F114" t="s">
        <v>309</v>
      </c>
    </row>
    <row r="115" spans="1:6" x14ac:dyDescent="0.25">
      <c r="E115" s="11" t="s">
        <v>264</v>
      </c>
      <c r="F115" t="s">
        <v>310</v>
      </c>
    </row>
    <row r="116" spans="1:6" x14ac:dyDescent="0.25">
      <c r="E116" t="s">
        <v>265</v>
      </c>
      <c r="F116" t="s">
        <v>311</v>
      </c>
    </row>
    <row r="118" spans="1:6" x14ac:dyDescent="0.25">
      <c r="A118" s="2" t="s">
        <v>563</v>
      </c>
    </row>
    <row r="119" spans="1:6" x14ac:dyDescent="0.25">
      <c r="A119" s="21" t="s">
        <v>571</v>
      </c>
      <c r="B119" s="21" t="s">
        <v>289</v>
      </c>
      <c r="C119" s="21" t="s">
        <v>247</v>
      </c>
      <c r="D119" s="21" t="s">
        <v>249</v>
      </c>
      <c r="E119" s="21" t="s">
        <v>252</v>
      </c>
      <c r="F119" s="21" t="s">
        <v>251</v>
      </c>
    </row>
    <row r="120" spans="1:6" x14ac:dyDescent="0.25">
      <c r="A120">
        <v>2008</v>
      </c>
      <c r="B120" t="s">
        <v>565</v>
      </c>
      <c r="C120" t="s">
        <v>269</v>
      </c>
      <c r="D120" t="s">
        <v>564</v>
      </c>
      <c r="E120" t="s">
        <v>566</v>
      </c>
      <c r="F120" s="12">
        <v>0.60199999999999998</v>
      </c>
    </row>
    <row r="121" spans="1:6" x14ac:dyDescent="0.25">
      <c r="B121" t="s">
        <v>567</v>
      </c>
      <c r="C121" t="s">
        <v>269</v>
      </c>
      <c r="D121" t="s">
        <v>564</v>
      </c>
      <c r="E121" t="s">
        <v>566</v>
      </c>
      <c r="F121" s="12">
        <v>0.33600000000000002</v>
      </c>
    </row>
    <row r="123" spans="1:6" x14ac:dyDescent="0.25">
      <c r="A123" s="2" t="s">
        <v>568</v>
      </c>
    </row>
    <row r="124" spans="1:6" x14ac:dyDescent="0.25">
      <c r="A124" t="s">
        <v>571</v>
      </c>
      <c r="B124" s="21" t="s">
        <v>289</v>
      </c>
      <c r="C124" s="21" t="s">
        <v>247</v>
      </c>
      <c r="D124" s="21" t="s">
        <v>249</v>
      </c>
      <c r="E124" s="21" t="s">
        <v>252</v>
      </c>
      <c r="F124" s="21" t="s">
        <v>251</v>
      </c>
    </row>
    <row r="125" spans="1:6" x14ac:dyDescent="0.25">
      <c r="A125" t="s">
        <v>575</v>
      </c>
      <c r="B125" t="s">
        <v>565</v>
      </c>
      <c r="C125" t="s">
        <v>269</v>
      </c>
      <c r="D125" t="s">
        <v>569</v>
      </c>
      <c r="E125" t="s">
        <v>258</v>
      </c>
      <c r="F125" s="12">
        <v>0.64900000000000002</v>
      </c>
    </row>
    <row r="126" spans="1:6" x14ac:dyDescent="0.25">
      <c r="B126" t="s">
        <v>567</v>
      </c>
      <c r="D126" t="s">
        <v>570</v>
      </c>
      <c r="E126" t="s">
        <v>258</v>
      </c>
      <c r="F126" s="12">
        <v>0.28199999999999997</v>
      </c>
    </row>
    <row r="128" spans="1:6" x14ac:dyDescent="0.25">
      <c r="A128" s="2" t="s">
        <v>572</v>
      </c>
    </row>
    <row r="129" spans="1:8" x14ac:dyDescent="0.25">
      <c r="A129" s="21" t="s">
        <v>571</v>
      </c>
      <c r="B129" s="21" t="s">
        <v>289</v>
      </c>
      <c r="C129" s="21" t="s">
        <v>247</v>
      </c>
      <c r="D129" s="21" t="s">
        <v>249</v>
      </c>
      <c r="E129" s="21" t="s">
        <v>252</v>
      </c>
      <c r="F129" s="21" t="s">
        <v>251</v>
      </c>
    </row>
    <row r="130" spans="1:8" x14ac:dyDescent="0.25">
      <c r="A130" t="s">
        <v>575</v>
      </c>
      <c r="B130" t="s">
        <v>565</v>
      </c>
      <c r="C130" t="s">
        <v>269</v>
      </c>
      <c r="D130" t="s">
        <v>573</v>
      </c>
      <c r="E130" t="s">
        <v>257</v>
      </c>
      <c r="F130" s="13">
        <v>1</v>
      </c>
    </row>
    <row r="131" spans="1:8" x14ac:dyDescent="0.25">
      <c r="B131" s="21"/>
      <c r="D131" t="s">
        <v>138</v>
      </c>
      <c r="E131" s="21" t="s">
        <v>257</v>
      </c>
      <c r="F131" s="13">
        <v>0.57999999999999996</v>
      </c>
    </row>
    <row r="132" spans="1:8" x14ac:dyDescent="0.25">
      <c r="B132" s="21"/>
      <c r="D132" t="s">
        <v>139</v>
      </c>
      <c r="E132" s="21" t="s">
        <v>257</v>
      </c>
      <c r="F132" s="13">
        <v>0.56000000000000005</v>
      </c>
    </row>
    <row r="133" spans="1:8" x14ac:dyDescent="0.25">
      <c r="B133" s="21"/>
      <c r="D133" t="s">
        <v>140</v>
      </c>
      <c r="E133" s="21" t="s">
        <v>257</v>
      </c>
      <c r="F133" s="13">
        <v>0.43</v>
      </c>
    </row>
    <row r="134" spans="1:8" x14ac:dyDescent="0.25">
      <c r="B134" s="21"/>
      <c r="D134" t="s">
        <v>141</v>
      </c>
      <c r="E134" s="21" t="s">
        <v>257</v>
      </c>
      <c r="F134" s="13">
        <v>0.46</v>
      </c>
    </row>
    <row r="135" spans="1:8" x14ac:dyDescent="0.25">
      <c r="B135" s="21"/>
      <c r="D135" t="s">
        <v>574</v>
      </c>
      <c r="E135" s="21" t="s">
        <v>257</v>
      </c>
      <c r="F135" s="13">
        <v>0.43</v>
      </c>
    </row>
    <row r="136" spans="1:8" x14ac:dyDescent="0.25">
      <c r="B136" t="s">
        <v>567</v>
      </c>
      <c r="C136" t="s">
        <v>269</v>
      </c>
      <c r="D136" s="21" t="s">
        <v>573</v>
      </c>
      <c r="E136" s="21" t="s">
        <v>257</v>
      </c>
      <c r="F136" s="13">
        <v>0.44</v>
      </c>
    </row>
    <row r="137" spans="1:8" x14ac:dyDescent="0.25">
      <c r="B137" s="21"/>
      <c r="D137" s="21" t="s">
        <v>138</v>
      </c>
      <c r="E137" s="21" t="s">
        <v>257</v>
      </c>
      <c r="F137" s="13">
        <v>0.25</v>
      </c>
    </row>
    <row r="138" spans="1:8" x14ac:dyDescent="0.25">
      <c r="B138" s="21"/>
      <c r="D138" s="21" t="s">
        <v>139</v>
      </c>
      <c r="E138" s="21" t="s">
        <v>257</v>
      </c>
      <c r="F138" s="13">
        <v>0.12</v>
      </c>
    </row>
    <row r="139" spans="1:8" x14ac:dyDescent="0.25">
      <c r="B139" s="21"/>
      <c r="D139" s="21" t="s">
        <v>140</v>
      </c>
      <c r="E139" s="21" t="s">
        <v>257</v>
      </c>
      <c r="F139" s="13">
        <v>0.15</v>
      </c>
    </row>
    <row r="140" spans="1:8" x14ac:dyDescent="0.25">
      <c r="B140" s="21"/>
      <c r="D140" s="21" t="s">
        <v>141</v>
      </c>
      <c r="E140" s="21" t="s">
        <v>257</v>
      </c>
      <c r="F140" s="13">
        <v>0.1</v>
      </c>
    </row>
    <row r="141" spans="1:8" x14ac:dyDescent="0.25">
      <c r="B141" s="21"/>
      <c r="D141" s="21" t="s">
        <v>574</v>
      </c>
      <c r="E141" s="21" t="s">
        <v>257</v>
      </c>
      <c r="F141" s="13">
        <v>0.1</v>
      </c>
    </row>
    <row r="143" spans="1:8" x14ac:dyDescent="0.25">
      <c r="A143" s="2" t="s">
        <v>579</v>
      </c>
    </row>
    <row r="144" spans="1:8" x14ac:dyDescent="0.25">
      <c r="A144" s="21" t="s">
        <v>571</v>
      </c>
      <c r="B144" s="21" t="s">
        <v>289</v>
      </c>
      <c r="C144" s="21" t="s">
        <v>247</v>
      </c>
      <c r="D144" s="21" t="s">
        <v>249</v>
      </c>
      <c r="E144" s="21" t="s">
        <v>252</v>
      </c>
      <c r="F144" s="21" t="s">
        <v>251</v>
      </c>
      <c r="G144" t="s">
        <v>581</v>
      </c>
      <c r="H144" t="s">
        <v>582</v>
      </c>
    </row>
    <row r="145" spans="1:9" x14ac:dyDescent="0.25">
      <c r="A145" t="s">
        <v>586</v>
      </c>
      <c r="B145" t="s">
        <v>288</v>
      </c>
      <c r="C145" t="s">
        <v>585</v>
      </c>
      <c r="D145" t="s">
        <v>155</v>
      </c>
      <c r="E145" t="s">
        <v>257</v>
      </c>
      <c r="F145" s="12">
        <v>0.48199999999999998</v>
      </c>
      <c r="G145">
        <v>14.7</v>
      </c>
      <c r="H145">
        <v>81.599999999999994</v>
      </c>
      <c r="I145" t="s">
        <v>580</v>
      </c>
    </row>
    <row r="146" spans="1:9" x14ac:dyDescent="0.25">
      <c r="D146" t="s">
        <v>556</v>
      </c>
      <c r="E146" s="21" t="s">
        <v>257</v>
      </c>
      <c r="F146" s="12">
        <v>0.505</v>
      </c>
      <c r="G146">
        <v>37.1</v>
      </c>
      <c r="H146">
        <v>63.8</v>
      </c>
    </row>
    <row r="147" spans="1:9" x14ac:dyDescent="0.25">
      <c r="D147" t="s">
        <v>583</v>
      </c>
      <c r="E147" s="21" t="s">
        <v>257</v>
      </c>
      <c r="F147" s="12">
        <v>0.36099999999999999</v>
      </c>
      <c r="G147">
        <v>26.9</v>
      </c>
      <c r="H147">
        <v>45.2</v>
      </c>
    </row>
    <row r="148" spans="1:9" x14ac:dyDescent="0.25">
      <c r="D148" t="s">
        <v>584</v>
      </c>
      <c r="E148" s="21" t="s">
        <v>257</v>
      </c>
      <c r="F148" s="12">
        <v>0.316</v>
      </c>
      <c r="G148">
        <v>14.9</v>
      </c>
      <c r="H148">
        <v>48.3</v>
      </c>
    </row>
    <row r="150" spans="1:9" x14ac:dyDescent="0.25">
      <c r="A150" s="2" t="s">
        <v>661</v>
      </c>
      <c r="G150" s="37"/>
      <c r="H150" s="37"/>
    </row>
    <row r="151" spans="1:9" x14ac:dyDescent="0.25">
      <c r="A151" s="37" t="s">
        <v>571</v>
      </c>
      <c r="B151" s="37" t="s">
        <v>289</v>
      </c>
      <c r="C151" s="37" t="s">
        <v>247</v>
      </c>
      <c r="D151" s="37" t="s">
        <v>249</v>
      </c>
      <c r="E151" s="37" t="s">
        <v>252</v>
      </c>
      <c r="F151" s="37" t="s">
        <v>251</v>
      </c>
      <c r="G151" s="37"/>
      <c r="H151" s="37"/>
    </row>
    <row r="152" spans="1:9" x14ac:dyDescent="0.25">
      <c r="A152">
        <v>2003</v>
      </c>
      <c r="B152" t="s">
        <v>664</v>
      </c>
      <c r="C152" t="s">
        <v>269</v>
      </c>
      <c r="D152" t="s">
        <v>663</v>
      </c>
      <c r="E152" t="s">
        <v>258</v>
      </c>
      <c r="F152" s="37">
        <v>54</v>
      </c>
      <c r="H152" s="37" t="s">
        <v>666</v>
      </c>
    </row>
    <row r="153" spans="1:9" x14ac:dyDescent="0.25">
      <c r="B153" t="s">
        <v>662</v>
      </c>
      <c r="E153" t="s">
        <v>258</v>
      </c>
      <c r="F153" s="40">
        <v>79.400000000000006</v>
      </c>
      <c r="H153" s="37"/>
    </row>
    <row r="154" spans="1:9" x14ac:dyDescent="0.25">
      <c r="B154" t="s">
        <v>665</v>
      </c>
      <c r="E154" t="s">
        <v>258</v>
      </c>
      <c r="F154" s="37">
        <v>46.9</v>
      </c>
      <c r="H154" s="37"/>
    </row>
    <row r="155" spans="1:9" x14ac:dyDescent="0.25">
      <c r="F155" s="37"/>
      <c r="G155" s="37"/>
      <c r="H155" s="37"/>
    </row>
    <row r="156" spans="1:9" x14ac:dyDescent="0.25">
      <c r="A156" t="s">
        <v>667</v>
      </c>
      <c r="F156" s="37"/>
      <c r="G156" s="37"/>
      <c r="H156" s="37"/>
    </row>
    <row r="157" spans="1:9" x14ac:dyDescent="0.25">
      <c r="A157" s="37" t="s">
        <v>571</v>
      </c>
      <c r="B157" s="37" t="s">
        <v>289</v>
      </c>
      <c r="C157" s="37" t="s">
        <v>247</v>
      </c>
      <c r="D157" s="37" t="s">
        <v>249</v>
      </c>
      <c r="E157" s="37" t="s">
        <v>252</v>
      </c>
      <c r="F157" s="37" t="s">
        <v>251</v>
      </c>
      <c r="H157" s="37"/>
    </row>
    <row r="158" spans="1:9" x14ac:dyDescent="0.25">
      <c r="A158" t="s">
        <v>670</v>
      </c>
      <c r="B158" t="s">
        <v>665</v>
      </c>
      <c r="C158" t="s">
        <v>248</v>
      </c>
      <c r="D158" t="s">
        <v>668</v>
      </c>
      <c r="E158" t="s">
        <v>258</v>
      </c>
      <c r="F158">
        <v>69.099999999999994</v>
      </c>
    </row>
    <row r="159" spans="1:9" x14ac:dyDescent="0.25">
      <c r="D159" t="s">
        <v>139</v>
      </c>
      <c r="E159" t="s">
        <v>258</v>
      </c>
      <c r="F159">
        <v>79.400000000000006</v>
      </c>
    </row>
    <row r="160" spans="1:9" x14ac:dyDescent="0.25">
      <c r="D160" t="s">
        <v>156</v>
      </c>
      <c r="E160" t="s">
        <v>258</v>
      </c>
      <c r="F160">
        <v>70.8</v>
      </c>
    </row>
    <row r="161" spans="2:6" x14ac:dyDescent="0.25">
      <c r="D161" t="s">
        <v>669</v>
      </c>
      <c r="E161" t="s">
        <v>258</v>
      </c>
      <c r="F161">
        <v>68.400000000000006</v>
      </c>
    </row>
    <row r="162" spans="2:6" x14ac:dyDescent="0.25">
      <c r="B162" t="s">
        <v>662</v>
      </c>
      <c r="C162" t="s">
        <v>248</v>
      </c>
      <c r="D162" s="37" t="s">
        <v>668</v>
      </c>
      <c r="E162" s="37" t="s">
        <v>258</v>
      </c>
      <c r="F162">
        <v>52.1</v>
      </c>
    </row>
    <row r="163" spans="2:6" x14ac:dyDescent="0.25">
      <c r="D163" s="37" t="s">
        <v>139</v>
      </c>
      <c r="E163" s="37" t="s">
        <v>258</v>
      </c>
      <c r="F163">
        <v>47.1</v>
      </c>
    </row>
    <row r="164" spans="2:6" x14ac:dyDescent="0.25">
      <c r="D164" s="37" t="s">
        <v>156</v>
      </c>
      <c r="E164" s="37" t="s">
        <v>258</v>
      </c>
      <c r="F164">
        <v>39.6</v>
      </c>
    </row>
    <row r="165" spans="2:6" x14ac:dyDescent="0.25">
      <c r="D165" s="37" t="s">
        <v>669</v>
      </c>
      <c r="E165" s="37" t="s">
        <v>258</v>
      </c>
      <c r="F165">
        <v>38.6</v>
      </c>
    </row>
  </sheetData>
  <hyperlinks>
    <hyperlink ref="L3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3" workbookViewId="0">
      <selection activeCell="B15" sqref="B15:D17"/>
    </sheetView>
  </sheetViews>
  <sheetFormatPr defaultRowHeight="15" x14ac:dyDescent="0.25"/>
  <sheetData>
    <row r="1" spans="1:4" x14ac:dyDescent="0.25">
      <c r="A1" s="2" t="s">
        <v>655</v>
      </c>
    </row>
    <row r="2" spans="1:4" x14ac:dyDescent="0.25">
      <c r="B2" t="s">
        <v>656</v>
      </c>
    </row>
    <row r="3" spans="1:4" x14ac:dyDescent="0.25">
      <c r="B3" t="s">
        <v>652</v>
      </c>
      <c r="C3">
        <v>4.9000000000000004</v>
      </c>
      <c r="D3" t="s">
        <v>653</v>
      </c>
    </row>
    <row r="4" spans="1:4" x14ac:dyDescent="0.25">
      <c r="B4" t="s">
        <v>567</v>
      </c>
      <c r="C4">
        <v>1.9</v>
      </c>
      <c r="D4" t="s">
        <v>654</v>
      </c>
    </row>
    <row r="6" spans="1:4" x14ac:dyDescent="0.25">
      <c r="A6" s="2" t="s">
        <v>657</v>
      </c>
    </row>
    <row r="7" spans="1:4" x14ac:dyDescent="0.25">
      <c r="B7" t="s">
        <v>658</v>
      </c>
    </row>
    <row r="8" spans="1:4" x14ac:dyDescent="0.25">
      <c r="C8" t="s">
        <v>565</v>
      </c>
      <c r="D8" t="s">
        <v>567</v>
      </c>
    </row>
    <row r="9" spans="1:4" x14ac:dyDescent="0.25">
      <c r="B9" t="s">
        <v>659</v>
      </c>
      <c r="C9" s="13">
        <v>0.37</v>
      </c>
      <c r="D9" s="13">
        <v>0.24</v>
      </c>
    </row>
    <row r="10" spans="1:4" x14ac:dyDescent="0.25">
      <c r="B10" t="s">
        <v>660</v>
      </c>
      <c r="C10">
        <v>26</v>
      </c>
      <c r="D10">
        <v>24</v>
      </c>
    </row>
    <row r="12" spans="1:4" x14ac:dyDescent="0.25">
      <c r="A12" s="2" t="s">
        <v>680</v>
      </c>
    </row>
    <row r="13" spans="1:4" x14ac:dyDescent="0.25">
      <c r="B13" t="s">
        <v>675</v>
      </c>
    </row>
    <row r="14" spans="1:4" x14ac:dyDescent="0.25">
      <c r="B14" t="s">
        <v>249</v>
      </c>
      <c r="C14" t="s">
        <v>601</v>
      </c>
      <c r="D14" t="s">
        <v>106</v>
      </c>
    </row>
    <row r="15" spans="1:4" x14ac:dyDescent="0.25">
      <c r="B15" t="s">
        <v>671</v>
      </c>
      <c r="C15">
        <f>137/D15</f>
        <v>0.1049808429118774</v>
      </c>
      <c r="D15">
        <f>137+1168</f>
        <v>1305</v>
      </c>
    </row>
    <row r="16" spans="1:4" x14ac:dyDescent="0.25">
      <c r="B16" t="s">
        <v>672</v>
      </c>
      <c r="C16">
        <f>119/D16</f>
        <v>9.3922651933701654E-2</v>
      </c>
      <c r="D16">
        <f>119+1148</f>
        <v>1267</v>
      </c>
    </row>
    <row r="17" spans="1:4" x14ac:dyDescent="0.25">
      <c r="B17" t="s">
        <v>673</v>
      </c>
      <c r="C17">
        <f>31/D17</f>
        <v>6.042884990253411E-2</v>
      </c>
      <c r="D17">
        <f>31+482</f>
        <v>513</v>
      </c>
    </row>
    <row r="18" spans="1:4" x14ac:dyDescent="0.25">
      <c r="B18" t="s">
        <v>674</v>
      </c>
    </row>
    <row r="20" spans="1:4" x14ac:dyDescent="0.25">
      <c r="B20" t="s">
        <v>676</v>
      </c>
    </row>
    <row r="21" spans="1:4" x14ac:dyDescent="0.25">
      <c r="B21" t="s">
        <v>677</v>
      </c>
      <c r="C21" t="s">
        <v>601</v>
      </c>
      <c r="D21" t="s">
        <v>106</v>
      </c>
    </row>
    <row r="22" spans="1:4" x14ac:dyDescent="0.25">
      <c r="B22" t="s">
        <v>460</v>
      </c>
      <c r="C22">
        <f>59/D22</f>
        <v>0.13111111111111112</v>
      </c>
      <c r="D22">
        <f>391+59</f>
        <v>450</v>
      </c>
    </row>
    <row r="23" spans="1:4" x14ac:dyDescent="0.25">
      <c r="B23" t="s">
        <v>678</v>
      </c>
      <c r="C23">
        <f>73/D23</f>
        <v>0.13721804511278196</v>
      </c>
      <c r="D23">
        <f>459+73</f>
        <v>532</v>
      </c>
    </row>
    <row r="24" spans="1:4" x14ac:dyDescent="0.25">
      <c r="B24" t="s">
        <v>430</v>
      </c>
      <c r="C24">
        <f>49/D24</f>
        <v>0.10722100656455143</v>
      </c>
      <c r="D24">
        <f>408+49</f>
        <v>457</v>
      </c>
    </row>
    <row r="25" spans="1:4" x14ac:dyDescent="0.25">
      <c r="B25" t="s">
        <v>679</v>
      </c>
      <c r="C25">
        <f>57/D25</f>
        <v>9.7269624573378843E-2</v>
      </c>
      <c r="D25">
        <f>529+57</f>
        <v>586</v>
      </c>
    </row>
    <row r="27" spans="1:4" x14ac:dyDescent="0.25">
      <c r="A27" s="2" t="s">
        <v>681</v>
      </c>
    </row>
    <row r="28" spans="1:4" x14ac:dyDescent="0.25">
      <c r="B28" t="s">
        <v>686</v>
      </c>
    </row>
    <row r="29" spans="1:4" x14ac:dyDescent="0.25">
      <c r="B29" t="s">
        <v>685</v>
      </c>
      <c r="C29" t="s">
        <v>601</v>
      </c>
    </row>
    <row r="30" spans="1:4" x14ac:dyDescent="0.25">
      <c r="B30" t="s">
        <v>682</v>
      </c>
      <c r="C30">
        <v>5.8</v>
      </c>
    </row>
    <row r="31" spans="1:4" x14ac:dyDescent="0.25">
      <c r="B31" t="s">
        <v>683</v>
      </c>
      <c r="C31">
        <v>3.5</v>
      </c>
    </row>
    <row r="32" spans="1:4" x14ac:dyDescent="0.25">
      <c r="B32" t="s">
        <v>684</v>
      </c>
      <c r="C32">
        <v>1.2</v>
      </c>
    </row>
    <row r="33" spans="1:4" x14ac:dyDescent="0.25">
      <c r="B33" t="s">
        <v>285</v>
      </c>
      <c r="C33">
        <v>1.5</v>
      </c>
    </row>
    <row r="34" spans="1:4" x14ac:dyDescent="0.25">
      <c r="B34" t="s">
        <v>687</v>
      </c>
    </row>
    <row r="36" spans="1:4" x14ac:dyDescent="0.25">
      <c r="A36" s="2" t="s">
        <v>690</v>
      </c>
    </row>
    <row r="37" spans="1:4" x14ac:dyDescent="0.25">
      <c r="B37" t="s">
        <v>689</v>
      </c>
    </row>
    <row r="38" spans="1:4" x14ac:dyDescent="0.25">
      <c r="C38" t="s">
        <v>565</v>
      </c>
      <c r="D38" t="s">
        <v>567</v>
      </c>
    </row>
    <row r="39" spans="1:4" x14ac:dyDescent="0.25">
      <c r="B39" t="s">
        <v>688</v>
      </c>
      <c r="C39">
        <f>15/84</f>
        <v>0.17857142857142858</v>
      </c>
      <c r="D39">
        <f>24/266</f>
        <v>9.0225563909774431E-2</v>
      </c>
    </row>
    <row r="40" spans="1:4" x14ac:dyDescent="0.25">
      <c r="B40" t="s">
        <v>284</v>
      </c>
      <c r="C40">
        <f>10/84</f>
        <v>0.11904761904761904</v>
      </c>
      <c r="D40">
        <f>5/266</f>
        <v>1.8796992481203006E-2</v>
      </c>
    </row>
    <row r="42" spans="1:4" x14ac:dyDescent="0.25">
      <c r="B42" t="s">
        <v>691</v>
      </c>
    </row>
    <row r="43" spans="1:4" x14ac:dyDescent="0.25">
      <c r="B43" t="s">
        <v>652</v>
      </c>
      <c r="C43" t="s">
        <v>692</v>
      </c>
    </row>
    <row r="44" spans="1:4" x14ac:dyDescent="0.25">
      <c r="B44" t="s">
        <v>567</v>
      </c>
      <c r="C44" t="s">
        <v>693</v>
      </c>
    </row>
    <row r="45" spans="1:4" x14ac:dyDescent="0.25">
      <c r="B45" t="s">
        <v>694</v>
      </c>
    </row>
    <row r="47" spans="1:4" x14ac:dyDescent="0.25">
      <c r="A47" s="2" t="s">
        <v>695</v>
      </c>
    </row>
    <row r="48" spans="1:4" x14ac:dyDescent="0.25">
      <c r="B48" t="s">
        <v>696</v>
      </c>
    </row>
    <row r="49" spans="2:3" x14ac:dyDescent="0.25">
      <c r="C49" t="s">
        <v>601</v>
      </c>
    </row>
    <row r="50" spans="2:3" x14ac:dyDescent="0.25">
      <c r="B50" t="s">
        <v>298</v>
      </c>
      <c r="C50">
        <v>33.1</v>
      </c>
    </row>
    <row r="51" spans="2:3" x14ac:dyDescent="0.25">
      <c r="B51" t="s">
        <v>697</v>
      </c>
      <c r="C51">
        <v>10.5</v>
      </c>
    </row>
    <row r="52" spans="2:3" x14ac:dyDescent="0.25">
      <c r="B52" t="s">
        <v>698</v>
      </c>
      <c r="C52">
        <v>12.8</v>
      </c>
    </row>
    <row r="53" spans="2:3" x14ac:dyDescent="0.25">
      <c r="B53" t="s">
        <v>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6" workbookViewId="0">
      <selection activeCell="G51" sqref="G51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405</v>
      </c>
    </row>
    <row r="64" spans="1:8" x14ac:dyDescent="0.25">
      <c r="B64" t="s">
        <v>448</v>
      </c>
    </row>
    <row r="65" spans="2:4" x14ac:dyDescent="0.25">
      <c r="C65" t="s">
        <v>454</v>
      </c>
      <c r="D65" t="s">
        <v>455</v>
      </c>
    </row>
    <row r="66" spans="2:4" x14ac:dyDescent="0.25">
      <c r="B66" t="s">
        <v>449</v>
      </c>
      <c r="C66">
        <v>8.9</v>
      </c>
      <c r="D66">
        <v>3.5</v>
      </c>
    </row>
    <row r="67" spans="2:4" x14ac:dyDescent="0.25">
      <c r="B67" t="s">
        <v>450</v>
      </c>
      <c r="C67">
        <v>10.199999999999999</v>
      </c>
      <c r="D67">
        <v>9.1999999999999993</v>
      </c>
    </row>
    <row r="68" spans="2:4" x14ac:dyDescent="0.25">
      <c r="B68" t="s">
        <v>451</v>
      </c>
      <c r="C68">
        <v>13.4</v>
      </c>
      <c r="D68">
        <v>9.1</v>
      </c>
    </row>
    <row r="69" spans="2:4" x14ac:dyDescent="0.25">
      <c r="B69" t="s">
        <v>452</v>
      </c>
      <c r="C69">
        <v>16.600000000000001</v>
      </c>
      <c r="D69">
        <v>11.2</v>
      </c>
    </row>
    <row r="70" spans="2:4" x14ac:dyDescent="0.25">
      <c r="B70" t="s">
        <v>453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57" workbookViewId="0">
      <selection activeCell="B75" sqref="B75"/>
    </sheetView>
  </sheetViews>
  <sheetFormatPr defaultRowHeight="15" x14ac:dyDescent="0.25"/>
  <sheetData>
    <row r="1" spans="1:3" x14ac:dyDescent="0.25">
      <c r="A1" s="2" t="s">
        <v>123</v>
      </c>
    </row>
    <row r="2" spans="1:3" x14ac:dyDescent="0.25">
      <c r="B2" t="s">
        <v>126</v>
      </c>
    </row>
    <row r="3" spans="1:3" x14ac:dyDescent="0.25">
      <c r="B3" t="s">
        <v>121</v>
      </c>
    </row>
    <row r="4" spans="1:3" x14ac:dyDescent="0.25">
      <c r="B4" t="s">
        <v>122</v>
      </c>
    </row>
    <row r="5" spans="1:3" x14ac:dyDescent="0.25">
      <c r="B5" t="s">
        <v>124</v>
      </c>
    </row>
    <row r="6" spans="1:3" x14ac:dyDescent="0.25">
      <c r="B6" t="s">
        <v>125</v>
      </c>
    </row>
    <row r="8" spans="1:3" x14ac:dyDescent="0.25">
      <c r="A8" s="2" t="s">
        <v>622</v>
      </c>
    </row>
    <row r="10" spans="1:3" x14ac:dyDescent="0.25">
      <c r="B10" t="s">
        <v>625</v>
      </c>
    </row>
    <row r="11" spans="1:3" x14ac:dyDescent="0.25">
      <c r="B11" t="s">
        <v>249</v>
      </c>
      <c r="C11" t="s">
        <v>624</v>
      </c>
    </row>
    <row r="12" spans="1:3" x14ac:dyDescent="0.25">
      <c r="B12" t="s">
        <v>138</v>
      </c>
      <c r="C12">
        <v>1.67</v>
      </c>
    </row>
    <row r="13" spans="1:3" x14ac:dyDescent="0.25">
      <c r="B13" t="s">
        <v>139</v>
      </c>
      <c r="C13">
        <v>3.63</v>
      </c>
    </row>
    <row r="14" spans="1:3" x14ac:dyDescent="0.25">
      <c r="B14" s="37" t="s">
        <v>140</v>
      </c>
      <c r="C14">
        <v>14.37</v>
      </c>
    </row>
    <row r="15" spans="1:3" x14ac:dyDescent="0.25">
      <c r="B15" s="37" t="s">
        <v>141</v>
      </c>
      <c r="C15">
        <v>41.72</v>
      </c>
    </row>
    <row r="16" spans="1:3" x14ac:dyDescent="0.25">
      <c r="B16" s="37" t="s">
        <v>142</v>
      </c>
      <c r="C16">
        <v>70.34</v>
      </c>
    </row>
    <row r="17" spans="1:3" x14ac:dyDescent="0.25">
      <c r="B17" s="37" t="s">
        <v>143</v>
      </c>
      <c r="C17">
        <v>74.19</v>
      </c>
    </row>
    <row r="18" spans="1:3" x14ac:dyDescent="0.25">
      <c r="B18" s="37" t="s">
        <v>395</v>
      </c>
      <c r="C18">
        <v>127.79</v>
      </c>
    </row>
    <row r="19" spans="1:3" x14ac:dyDescent="0.25">
      <c r="B19" s="37" t="s">
        <v>465</v>
      </c>
      <c r="C19">
        <v>148.35</v>
      </c>
    </row>
    <row r="20" spans="1:3" x14ac:dyDescent="0.25">
      <c r="B20" s="37" t="s">
        <v>327</v>
      </c>
      <c r="C20">
        <v>193.66</v>
      </c>
    </row>
    <row r="21" spans="1:3" x14ac:dyDescent="0.25">
      <c r="B21" s="37" t="s">
        <v>466</v>
      </c>
      <c r="C21">
        <v>199.95</v>
      </c>
    </row>
    <row r="22" spans="1:3" x14ac:dyDescent="0.25">
      <c r="B22" s="37" t="s">
        <v>467</v>
      </c>
      <c r="C22">
        <v>170.4</v>
      </c>
    </row>
    <row r="23" spans="1:3" x14ac:dyDescent="0.25">
      <c r="B23" t="s">
        <v>623</v>
      </c>
      <c r="C23">
        <v>134.78</v>
      </c>
    </row>
    <row r="25" spans="1:3" x14ac:dyDescent="0.25">
      <c r="A25" s="2" t="s">
        <v>991</v>
      </c>
    </row>
    <row r="26" spans="1:3" x14ac:dyDescent="0.25">
      <c r="B26" t="s">
        <v>648</v>
      </c>
    </row>
    <row r="27" spans="1:3" x14ac:dyDescent="0.25">
      <c r="B27" t="s">
        <v>150</v>
      </c>
      <c r="C27" t="s">
        <v>649</v>
      </c>
    </row>
    <row r="28" spans="1:3" x14ac:dyDescent="0.25">
      <c r="B28" s="37" t="s">
        <v>137</v>
      </c>
      <c r="C28">
        <v>2</v>
      </c>
    </row>
    <row r="29" spans="1:3" x14ac:dyDescent="0.25">
      <c r="B29" s="37" t="s">
        <v>138</v>
      </c>
      <c r="C29">
        <v>3</v>
      </c>
    </row>
    <row r="30" spans="1:3" x14ac:dyDescent="0.25">
      <c r="B30" s="37" t="s">
        <v>139</v>
      </c>
      <c r="C30">
        <v>7</v>
      </c>
    </row>
    <row r="31" spans="1:3" x14ac:dyDescent="0.25">
      <c r="B31" s="37" t="s">
        <v>140</v>
      </c>
      <c r="C31">
        <v>21</v>
      </c>
    </row>
    <row r="32" spans="1:3" x14ac:dyDescent="0.25">
      <c r="B32" s="37" t="s">
        <v>141</v>
      </c>
      <c r="C32">
        <v>27</v>
      </c>
    </row>
    <row r="33" spans="2:6" x14ac:dyDescent="0.25">
      <c r="B33" s="37" t="s">
        <v>142</v>
      </c>
      <c r="C33">
        <v>35</v>
      </c>
    </row>
    <row r="34" spans="2:6" x14ac:dyDescent="0.25">
      <c r="B34" s="37" t="s">
        <v>143</v>
      </c>
      <c r="C34">
        <v>36</v>
      </c>
    </row>
    <row r="35" spans="2:6" x14ac:dyDescent="0.25">
      <c r="B35" s="37" t="s">
        <v>321</v>
      </c>
      <c r="C35">
        <v>27</v>
      </c>
    </row>
    <row r="36" spans="2:6" x14ac:dyDescent="0.25">
      <c r="B36" s="37" t="s">
        <v>322</v>
      </c>
      <c r="C36">
        <v>21</v>
      </c>
    </row>
    <row r="37" spans="2:6" x14ac:dyDescent="0.25">
      <c r="B37" s="37" t="s">
        <v>327</v>
      </c>
      <c r="C37">
        <v>15</v>
      </c>
    </row>
    <row r="38" spans="2:6" x14ac:dyDescent="0.25">
      <c r="B38" s="37" t="s">
        <v>328</v>
      </c>
      <c r="C38">
        <v>11</v>
      </c>
    </row>
    <row r="39" spans="2:6" x14ac:dyDescent="0.25">
      <c r="B39" s="37" t="s">
        <v>329</v>
      </c>
      <c r="C39">
        <v>9</v>
      </c>
    </row>
    <row r="40" spans="2:6" x14ac:dyDescent="0.25">
      <c r="B40" s="37" t="s">
        <v>623</v>
      </c>
      <c r="C40">
        <v>15</v>
      </c>
    </row>
    <row r="42" spans="2:6" x14ac:dyDescent="0.25">
      <c r="B42" s="37" t="s">
        <v>650</v>
      </c>
    </row>
    <row r="43" spans="2:6" x14ac:dyDescent="0.25">
      <c r="B43" s="37" t="s">
        <v>150</v>
      </c>
      <c r="C43" s="37" t="s">
        <v>649</v>
      </c>
    </row>
    <row r="44" spans="2:6" x14ac:dyDescent="0.25">
      <c r="B44" s="37" t="s">
        <v>137</v>
      </c>
      <c r="C44" s="37">
        <v>1</v>
      </c>
      <c r="E44" s="37">
        <v>2</v>
      </c>
      <c r="F44">
        <v>0</v>
      </c>
    </row>
    <row r="45" spans="2:6" x14ac:dyDescent="0.25">
      <c r="B45" s="37" t="s">
        <v>138</v>
      </c>
      <c r="C45" s="37">
        <v>12</v>
      </c>
      <c r="E45" s="37">
        <v>3</v>
      </c>
      <c r="F45" s="37">
        <v>1.67</v>
      </c>
    </row>
    <row r="46" spans="2:6" x14ac:dyDescent="0.25">
      <c r="B46" s="37" t="s">
        <v>139</v>
      </c>
      <c r="C46" s="37">
        <v>34</v>
      </c>
      <c r="E46" s="37">
        <v>7</v>
      </c>
      <c r="F46" s="37">
        <v>3.63</v>
      </c>
    </row>
    <row r="47" spans="2:6" x14ac:dyDescent="0.25">
      <c r="B47" s="37" t="s">
        <v>140</v>
      </c>
      <c r="C47" s="37">
        <v>86</v>
      </c>
      <c r="E47" s="37">
        <v>21</v>
      </c>
      <c r="F47" s="37">
        <v>14.37</v>
      </c>
    </row>
    <row r="48" spans="2:6" x14ac:dyDescent="0.25">
      <c r="B48" s="37" t="s">
        <v>141</v>
      </c>
      <c r="C48" s="37">
        <v>156</v>
      </c>
      <c r="E48" s="37">
        <v>27</v>
      </c>
      <c r="F48" s="37">
        <v>41.72</v>
      </c>
    </row>
    <row r="49" spans="1:6" x14ac:dyDescent="0.25">
      <c r="B49" s="37" t="s">
        <v>142</v>
      </c>
      <c r="C49" s="37">
        <v>187</v>
      </c>
      <c r="E49" s="37">
        <v>35</v>
      </c>
      <c r="F49" s="37">
        <v>70.34</v>
      </c>
    </row>
    <row r="50" spans="1:6" x14ac:dyDescent="0.25">
      <c r="B50" s="37" t="s">
        <v>143</v>
      </c>
      <c r="C50" s="37">
        <v>163</v>
      </c>
      <c r="E50" s="37">
        <v>36</v>
      </c>
      <c r="F50" s="37">
        <v>74.19</v>
      </c>
    </row>
    <row r="51" spans="1:6" x14ac:dyDescent="0.25">
      <c r="B51" s="37" t="s">
        <v>321</v>
      </c>
      <c r="C51" s="37">
        <v>144</v>
      </c>
      <c r="E51" s="37">
        <v>27</v>
      </c>
      <c r="F51" s="37">
        <v>127.79</v>
      </c>
    </row>
    <row r="52" spans="1:6" x14ac:dyDescent="0.25">
      <c r="B52" s="37" t="s">
        <v>322</v>
      </c>
      <c r="C52" s="37">
        <v>120</v>
      </c>
      <c r="E52" s="37">
        <v>21</v>
      </c>
      <c r="F52" s="37">
        <v>148.35</v>
      </c>
    </row>
    <row r="53" spans="1:6" x14ac:dyDescent="0.25">
      <c r="B53" s="37" t="s">
        <v>327</v>
      </c>
      <c r="C53" s="37">
        <v>90</v>
      </c>
      <c r="E53" s="37">
        <v>15</v>
      </c>
      <c r="F53" s="37">
        <v>193.66</v>
      </c>
    </row>
    <row r="54" spans="1:6" x14ac:dyDescent="0.25">
      <c r="B54" s="37" t="s">
        <v>328</v>
      </c>
      <c r="C54" s="37">
        <v>57</v>
      </c>
      <c r="E54" s="37">
        <v>11</v>
      </c>
      <c r="F54" s="37">
        <v>199.95</v>
      </c>
    </row>
    <row r="55" spans="1:6" x14ac:dyDescent="0.25">
      <c r="B55" s="37" t="s">
        <v>329</v>
      </c>
      <c r="C55" s="37">
        <v>40</v>
      </c>
      <c r="E55" s="37">
        <v>9</v>
      </c>
      <c r="F55" s="37">
        <v>170.4</v>
      </c>
    </row>
    <row r="56" spans="1:6" x14ac:dyDescent="0.25">
      <c r="B56" s="37" t="s">
        <v>623</v>
      </c>
      <c r="C56" s="37">
        <v>48</v>
      </c>
      <c r="E56" s="37">
        <v>15</v>
      </c>
      <c r="F56" s="37">
        <v>134.78</v>
      </c>
    </row>
    <row r="58" spans="1:6" x14ac:dyDescent="0.25">
      <c r="A58" s="2" t="s">
        <v>992</v>
      </c>
    </row>
    <row r="59" spans="1:6" x14ac:dyDescent="0.25">
      <c r="B59" s="37" t="s">
        <v>993</v>
      </c>
      <c r="C59" s="37"/>
    </row>
    <row r="60" spans="1:6" x14ac:dyDescent="0.25">
      <c r="B60" s="37" t="s">
        <v>150</v>
      </c>
      <c r="C60" s="37" t="s">
        <v>649</v>
      </c>
    </row>
    <row r="61" spans="1:6" x14ac:dyDescent="0.25">
      <c r="B61" s="37" t="s">
        <v>137</v>
      </c>
      <c r="C61" s="37">
        <v>0</v>
      </c>
    </row>
    <row r="62" spans="1:6" x14ac:dyDescent="0.25">
      <c r="B62" s="37" t="s">
        <v>138</v>
      </c>
      <c r="C62" s="37">
        <v>1</v>
      </c>
    </row>
    <row r="63" spans="1:6" x14ac:dyDescent="0.25">
      <c r="B63" s="37" t="s">
        <v>139</v>
      </c>
      <c r="C63" s="37">
        <v>7</v>
      </c>
    </row>
    <row r="64" spans="1:6" x14ac:dyDescent="0.25">
      <c r="B64" s="37" t="s">
        <v>140</v>
      </c>
      <c r="C64" s="37">
        <v>9</v>
      </c>
    </row>
    <row r="65" spans="2:3" x14ac:dyDescent="0.25">
      <c r="B65" s="37" t="s">
        <v>141</v>
      </c>
      <c r="C65" s="37">
        <v>24</v>
      </c>
    </row>
    <row r="66" spans="2:3" x14ac:dyDescent="0.25">
      <c r="B66" s="37" t="s">
        <v>142</v>
      </c>
      <c r="C66" s="37">
        <v>28</v>
      </c>
    </row>
    <row r="67" spans="2:3" x14ac:dyDescent="0.25">
      <c r="B67" s="37" t="s">
        <v>143</v>
      </c>
      <c r="C67" s="37">
        <v>31</v>
      </c>
    </row>
    <row r="68" spans="2:3" x14ac:dyDescent="0.25">
      <c r="B68" s="37" t="s">
        <v>321</v>
      </c>
      <c r="C68" s="37">
        <v>30</v>
      </c>
    </row>
    <row r="69" spans="2:3" x14ac:dyDescent="0.25">
      <c r="B69" s="37" t="s">
        <v>322</v>
      </c>
      <c r="C69" s="37">
        <v>23</v>
      </c>
    </row>
    <row r="70" spans="2:3" x14ac:dyDescent="0.25">
      <c r="B70" s="37" t="s">
        <v>327</v>
      </c>
      <c r="C70" s="37">
        <v>23</v>
      </c>
    </row>
    <row r="71" spans="2:3" x14ac:dyDescent="0.25">
      <c r="B71" s="37" t="s">
        <v>328</v>
      </c>
      <c r="C71" s="37">
        <v>11</v>
      </c>
    </row>
    <row r="72" spans="2:3" x14ac:dyDescent="0.25">
      <c r="B72" s="37" t="s">
        <v>329</v>
      </c>
      <c r="C72" s="37">
        <v>15</v>
      </c>
    </row>
    <row r="73" spans="2:3" x14ac:dyDescent="0.25">
      <c r="B73" s="37" t="s">
        <v>623</v>
      </c>
      <c r="C73" s="37">
        <v>10</v>
      </c>
    </row>
    <row r="74" spans="2:3" x14ac:dyDescent="0.25">
      <c r="B74" t="s">
        <v>994</v>
      </c>
      <c r="C74">
        <v>17.7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Sexual behavior</vt:lpstr>
      <vt:lpstr>Circumcision</vt:lpstr>
      <vt:lpstr>Fertility</vt:lpstr>
      <vt:lpstr>Mortality</vt:lpstr>
      <vt:lpstr>HPV prevalence</vt:lpstr>
      <vt:lpstr>CIN prevalence</vt:lpstr>
      <vt:lpstr>Screening</vt:lpstr>
      <vt:lpstr>CC prevalence</vt:lpstr>
      <vt:lpstr>HIV prevalence</vt:lpstr>
      <vt:lpstr>HIV mortality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guiliu</cp:lastModifiedBy>
  <dcterms:created xsi:type="dcterms:W3CDTF">2017-11-08T19:44:01Z</dcterms:created>
  <dcterms:modified xsi:type="dcterms:W3CDTF">2019-08-29T23:04:25Z</dcterms:modified>
</cp:coreProperties>
</file>