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codeName="ThisWorkbook"/>
  <mc:AlternateContent xmlns:mc="http://schemas.openxmlformats.org/markup-compatibility/2006">
    <mc:Choice Requires="x15">
      <x15ac:absPath xmlns:x15ac="http://schemas.microsoft.com/office/spreadsheetml/2010/11/ac" url="/Users/clh89/MATLAB/Projects/ccTreatment_KZN/Config/"/>
    </mc:Choice>
  </mc:AlternateContent>
  <xr:revisionPtr revIDLastSave="0" documentId="13_ncr:1_{ED36DC76-CDAF-6E45-A2D1-47927433807F}" xr6:coauthVersionLast="47" xr6:coauthVersionMax="47" xr10:uidLastSave="{00000000-0000-0000-0000-000000000000}"/>
  <bookViews>
    <workbookView xWindow="0" yWindow="500" windowWidth="28800" windowHeight="17760" tabRatio="701" activeTab="1" xr2:uid="{00000000-000D-0000-FFFF-FFFF00000000}"/>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6" i="2" l="1"/>
  <c r="N26" i="2"/>
  <c r="N24" i="2" s="1"/>
  <c r="M26" i="2"/>
  <c r="M24" i="2" s="1"/>
  <c r="Y25" i="2"/>
  <c r="Z25" i="2"/>
  <c r="X25" i="2"/>
  <c r="T31" i="2"/>
  <c r="S31" i="2"/>
  <c r="U31" i="2"/>
  <c r="T28" i="2"/>
  <c r="U27" i="2"/>
  <c r="U28" i="2"/>
  <c r="T27" i="2"/>
  <c r="T26" i="2"/>
  <c r="U26" i="2"/>
  <c r="S27" i="2"/>
  <c r="S28" i="2"/>
  <c r="S26" i="2"/>
  <c r="O21" i="2"/>
  <c r="O22" i="2"/>
  <c r="O23" i="2"/>
  <c r="O24" i="2"/>
  <c r="O25" i="2"/>
  <c r="J21" i="2"/>
  <c r="J22" i="2"/>
  <c r="J23" i="2"/>
  <c r="J24" i="2"/>
  <c r="J25" i="2"/>
  <c r="N25" i="2"/>
  <c r="N21" i="2"/>
  <c r="N22" i="2"/>
  <c r="N23" i="2"/>
  <c r="M25" i="2"/>
  <c r="M21" i="2"/>
  <c r="M22" i="2"/>
  <c r="M23" i="2"/>
  <c r="I21" i="2"/>
  <c r="I22" i="2"/>
  <c r="I23" i="2"/>
  <c r="I24" i="2"/>
  <c r="I25" i="2"/>
  <c r="H21" i="2"/>
  <c r="H22" i="2"/>
  <c r="H23" i="2"/>
  <c r="H24" i="2"/>
  <c r="B9" i="2"/>
  <c r="H25" i="2"/>
  <c r="C7" i="2"/>
  <c r="C8" i="2"/>
  <c r="D7" i="2" l="1"/>
  <c r="D8" i="2"/>
  <c r="D9" i="2"/>
  <c r="D10" i="2"/>
  <c r="C9" i="2"/>
  <c r="C10" i="2"/>
  <c r="B7" i="2"/>
  <c r="B8" i="2"/>
  <c r="B10" i="2"/>
  <c r="C6" i="2"/>
  <c r="D6" i="2"/>
  <c r="B6" i="2"/>
  <c r="D9" i="12" l="1"/>
  <c r="E9" i="12" s="1"/>
  <c r="I9" i="12"/>
  <c r="W9" i="12"/>
  <c r="X9" i="12" s="1"/>
  <c r="Z9" i="12"/>
  <c r="AB9" i="12"/>
  <c r="AN9" i="12"/>
  <c r="AO9" i="12" s="1"/>
  <c r="D10" i="12"/>
  <c r="E10" i="12" s="1"/>
  <c r="I10" i="12"/>
  <c r="I16" i="12" s="1"/>
  <c r="W10" i="12"/>
  <c r="X10" i="12" s="1"/>
  <c r="Z10" i="12"/>
  <c r="AB10" i="12"/>
  <c r="AN10" i="12"/>
  <c r="AO10" i="12" s="1"/>
  <c r="D11" i="12"/>
  <c r="W11" i="12"/>
  <c r="Z11" i="12"/>
  <c r="AB11" i="12"/>
  <c r="AN11" i="12"/>
  <c r="AO11" i="12" s="1"/>
  <c r="D12" i="12"/>
  <c r="W12" i="12"/>
  <c r="AN12" i="12"/>
  <c r="D13" i="12"/>
  <c r="W13" i="12"/>
  <c r="AN13" i="12"/>
  <c r="D14" i="12"/>
  <c r="W14" i="12"/>
  <c r="AN14" i="12"/>
  <c r="D15" i="12"/>
  <c r="W15" i="12"/>
  <c r="AN15" i="12"/>
  <c r="D16" i="12"/>
  <c r="X16" i="12"/>
  <c r="AN16" i="12"/>
  <c r="D17" i="12"/>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s="1"/>
  <c r="I28" i="12"/>
  <c r="W28" i="12"/>
  <c r="X28" i="12" s="1"/>
  <c r="Z28" i="12"/>
  <c r="AB28" i="12"/>
  <c r="AH28" i="12"/>
  <c r="D29" i="12"/>
  <c r="E29" i="12"/>
  <c r="I29" i="12"/>
  <c r="I30" i="12" s="1"/>
  <c r="W29" i="12"/>
  <c r="X29" i="12" s="1"/>
  <c r="Z29" i="12"/>
  <c r="AB29" i="12"/>
  <c r="AH29" i="12"/>
  <c r="D30" i="12"/>
  <c r="W30" i="12"/>
  <c r="Z30" i="12"/>
  <c r="AB30" i="12"/>
  <c r="AH30" i="12"/>
  <c r="D31" i="12"/>
  <c r="W31" i="12"/>
  <c r="D32" i="12"/>
  <c r="W32" i="12"/>
  <c r="D33" i="12"/>
  <c r="W33" i="12"/>
  <c r="D34" i="12"/>
  <c r="W34" i="12"/>
  <c r="D35" i="12"/>
  <c r="X35" i="12"/>
  <c r="D36" i="12"/>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Z55" i="12" s="1"/>
  <c r="AB48" i="12"/>
  <c r="AP48" i="12"/>
  <c r="AP55" i="12" s="1"/>
  <c r="AQ48" i="12"/>
  <c r="AQ55" i="12" s="1"/>
  <c r="D49" i="12"/>
  <c r="E49" i="12" s="1"/>
  <c r="I49" i="12"/>
  <c r="W49" i="12"/>
  <c r="X49" i="12"/>
  <c r="Z49" i="12"/>
  <c r="AB49" i="12"/>
  <c r="D50" i="12"/>
  <c r="W50" i="12"/>
  <c r="Z50" i="12"/>
  <c r="AB50" i="12"/>
  <c r="D51" i="12"/>
  <c r="W51" i="12"/>
  <c r="D52" i="12"/>
  <c r="W52" i="12"/>
  <c r="D53" i="12"/>
  <c r="W53" i="12"/>
  <c r="D54" i="12"/>
  <c r="W54" i="12"/>
  <c r="D55" i="12"/>
  <c r="X55" i="12"/>
  <c r="D56" i="12"/>
  <c r="W56" i="12"/>
  <c r="D57" i="12"/>
  <c r="W57" i="12"/>
  <c r="D58" i="12"/>
  <c r="W58" i="12"/>
  <c r="D59" i="12"/>
  <c r="W59" i="12"/>
  <c r="D60" i="12"/>
  <c r="W60" i="12"/>
  <c r="D61" i="12"/>
  <c r="W61" i="12"/>
  <c r="D62" i="12"/>
  <c r="W62" i="12"/>
  <c r="D63" i="12"/>
  <c r="W63" i="12"/>
  <c r="D64" i="12"/>
  <c r="D65" i="12"/>
  <c r="D66" i="12"/>
  <c r="D67" i="12"/>
  <c r="W67" i="12"/>
  <c r="D69" i="12"/>
  <c r="E69" i="12" s="1"/>
  <c r="G69" i="12"/>
  <c r="I69" i="12"/>
  <c r="K69" i="12"/>
  <c r="M69" i="12"/>
  <c r="O69" i="12"/>
  <c r="P69" i="12"/>
  <c r="R69" i="12"/>
  <c r="Z69" i="12"/>
  <c r="Z76" i="12" s="1"/>
  <c r="AB69" i="12"/>
  <c r="AC69" i="12"/>
  <c r="AD69" i="12" s="1"/>
  <c r="AE69" i="12"/>
  <c r="AF69" i="12" s="1"/>
  <c r="AJ69" i="12"/>
  <c r="AL69" i="12"/>
  <c r="D70" i="12"/>
  <c r="E70" i="12" s="1"/>
  <c r="G70" i="12"/>
  <c r="I70" i="12"/>
  <c r="K70" i="12"/>
  <c r="M70" i="12"/>
  <c r="O70" i="12"/>
  <c r="P70" i="12"/>
  <c r="R70" i="12"/>
  <c r="Z70" i="12"/>
  <c r="AB70" i="12"/>
  <c r="AC70" i="12"/>
  <c r="AD70" i="12"/>
  <c r="AE70" i="12"/>
  <c r="AF70" i="12" s="1"/>
  <c r="AJ70" i="12"/>
  <c r="AL70" i="12"/>
  <c r="AL76" i="12" s="1"/>
  <c r="D71" i="12"/>
  <c r="G71" i="12"/>
  <c r="K71" i="12"/>
  <c r="M71" i="12"/>
  <c r="O71" i="12"/>
  <c r="P71" i="12"/>
  <c r="R71" i="12"/>
  <c r="Z71" i="12"/>
  <c r="AB71" i="12"/>
  <c r="AC71" i="12"/>
  <c r="AE71" i="12"/>
  <c r="AL71" i="12"/>
  <c r="D72" i="12"/>
  <c r="P72" i="12"/>
  <c r="R72" i="12"/>
  <c r="AC72" i="12"/>
  <c r="AE72" i="12"/>
  <c r="D73" i="12"/>
  <c r="P73" i="12"/>
  <c r="R73" i="12"/>
  <c r="AC73" i="12"/>
  <c r="AE73" i="12"/>
  <c r="D74" i="12"/>
  <c r="P74" i="12"/>
  <c r="R74" i="12"/>
  <c r="AC74" i="12"/>
  <c r="AE74" i="12"/>
  <c r="D75" i="12"/>
  <c r="P75" i="12"/>
  <c r="R75" i="12"/>
  <c r="AC75" i="12"/>
  <c r="AE75" i="12"/>
  <c r="D76" i="12"/>
  <c r="K76" i="12"/>
  <c r="M76" i="12"/>
  <c r="O76" i="12"/>
  <c r="AE76" i="12"/>
  <c r="D77" i="12"/>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G76" i="12" s="1"/>
  <c r="J90" i="12"/>
  <c r="L90" i="12"/>
  <c r="P90" i="12"/>
  <c r="R90" i="12"/>
  <c r="AC90" i="12"/>
  <c r="AE90" i="12"/>
  <c r="I92" i="12"/>
  <c r="I99" i="12" s="1"/>
  <c r="AB92" i="12"/>
  <c r="AB99" i="12" s="1"/>
  <c r="I93" i="12"/>
  <c r="AB93" i="12"/>
  <c r="AB94" i="12"/>
  <c r="I114" i="12"/>
  <c r="I121" i="12" s="1"/>
  <c r="AB114" i="12"/>
  <c r="AB121" i="12" s="1"/>
  <c r="I115" i="12"/>
  <c r="AB115" i="12"/>
  <c r="I116" i="12"/>
  <c r="AB116" i="12"/>
  <c r="I136" i="12"/>
  <c r="AB136" i="12"/>
  <c r="I137" i="12"/>
  <c r="AB137" i="12"/>
  <c r="AB138" i="12"/>
  <c r="S13" i="11"/>
  <c r="S12" i="11" s="1"/>
  <c r="S18" i="11"/>
  <c r="S17" i="11" s="1"/>
  <c r="S23" i="11"/>
  <c r="S22" i="11" s="1"/>
  <c r="S28" i="11"/>
  <c r="S27" i="11" s="1"/>
  <c r="AB55" i="12" l="1"/>
  <c r="Z35" i="12"/>
  <c r="I35" i="12"/>
  <c r="I76" i="12"/>
  <c r="AB76" i="12"/>
  <c r="AB143" i="12"/>
  <c r="I143" i="12"/>
  <c r="I94" i="12"/>
  <c r="X11" i="12"/>
  <c r="Z16" i="12"/>
  <c r="E71" i="12"/>
  <c r="X50" i="12"/>
  <c r="X30" i="12"/>
  <c r="I71" i="12"/>
  <c r="E55" i="12"/>
  <c r="I138" i="12"/>
  <c r="AF71" i="12"/>
  <c r="AF76" i="12" s="1"/>
  <c r="E35" i="12"/>
  <c r="E50" i="12"/>
  <c r="E30" i="12"/>
  <c r="E11" i="12"/>
  <c r="E76" i="12"/>
  <c r="AD71" i="12"/>
  <c r="AD76" i="12" s="1"/>
  <c r="AH35" i="12"/>
  <c r="E16" i="12"/>
  <c r="AJ76" i="12"/>
  <c r="I11" i="12"/>
  <c r="AB35" i="12"/>
  <c r="AO16" i="12"/>
  <c r="AB16" i="12"/>
  <c r="AJ71" i="12"/>
  <c r="I50" i="12"/>
  <c r="T25" i="8" l="1" a="1"/>
  <c r="T25" i="8" s="1"/>
  <c r="R25" i="8" a="1"/>
  <c r="R25" i="8" s="1"/>
  <c r="Q25" i="8" a="1"/>
  <c r="Q26" i="8" s="1"/>
  <c r="J25" i="8" a="1"/>
  <c r="J28" i="8" s="1"/>
  <c r="H25" i="8" a="1"/>
  <c r="H25" i="8" s="1"/>
  <c r="G25" i="8" a="1"/>
  <c r="G25" i="8" s="1"/>
  <c r="F25" i="8" a="1"/>
  <c r="F27" i="8" s="1"/>
  <c r="D25" i="8" a="1"/>
  <c r="D26" i="8" s="1"/>
  <c r="C25" i="8" a="1"/>
  <c r="C25" i="8" s="1"/>
  <c r="P25" i="8" a="1"/>
  <c r="P26" i="8" s="1"/>
  <c r="N25" i="8" a="1"/>
  <c r="N25" i="8" s="1"/>
  <c r="M25" i="8" a="1"/>
  <c r="M26" i="8" s="1"/>
  <c r="C44" i="8" l="1"/>
  <c r="G44" i="8"/>
  <c r="H44" i="8"/>
  <c r="R44" i="8"/>
  <c r="N44" i="8"/>
  <c r="T44" i="8"/>
  <c r="T27" i="8"/>
  <c r="T28" i="8"/>
  <c r="T34" i="8" s="1"/>
  <c r="T47" i="8" s="1"/>
  <c r="T26" i="8"/>
  <c r="R26" i="8"/>
  <c r="R32" i="8" s="1"/>
  <c r="R45" i="8" s="1"/>
  <c r="R28" i="8"/>
  <c r="R27" i="8"/>
  <c r="Q25" i="8"/>
  <c r="Q28" i="8"/>
  <c r="Q27" i="8"/>
  <c r="J26" i="8"/>
  <c r="J27" i="8"/>
  <c r="J25" i="8"/>
  <c r="H27" i="8"/>
  <c r="H28" i="8"/>
  <c r="H26" i="8"/>
  <c r="H32" i="8" s="1"/>
  <c r="G28" i="8"/>
  <c r="G27" i="8"/>
  <c r="G26" i="8"/>
  <c r="F28" i="8"/>
  <c r="F26" i="8"/>
  <c r="F25" i="8"/>
  <c r="D25" i="8"/>
  <c r="D28" i="8"/>
  <c r="D27" i="8"/>
  <c r="C28" i="8"/>
  <c r="C34" i="8" s="1"/>
  <c r="C27" i="8"/>
  <c r="C33" i="8" s="1"/>
  <c r="C26" i="8"/>
  <c r="C32" i="8" s="1"/>
  <c r="P25" i="8"/>
  <c r="P28" i="8"/>
  <c r="P27" i="8"/>
  <c r="N27" i="8"/>
  <c r="N28" i="8"/>
  <c r="N26" i="8"/>
  <c r="N32" i="8" s="1"/>
  <c r="N45" i="8" s="1"/>
  <c r="M25" i="8"/>
  <c r="M28" i="8"/>
  <c r="M27" i="8"/>
  <c r="G33" i="8"/>
  <c r="P34" i="8"/>
  <c r="E21" i="8"/>
  <c r="E20" i="8"/>
  <c r="E19" i="8"/>
  <c r="E18" i="8"/>
  <c r="M44" i="8" l="1"/>
  <c r="D44" i="8"/>
  <c r="J34" i="8"/>
  <c r="J40" i="8" s="1"/>
  <c r="J47" i="8" s="1"/>
  <c r="J44" i="8"/>
  <c r="F44" i="8"/>
  <c r="P44" i="8"/>
  <c r="P45" i="8"/>
  <c r="P47" i="8"/>
  <c r="Q44" i="8"/>
  <c r="Q45" i="8"/>
  <c r="Q47" i="8"/>
  <c r="H38" i="8"/>
  <c r="H45" i="8" s="1"/>
  <c r="I25" i="8" a="1"/>
  <c r="E25" i="8" a="1"/>
  <c r="M34" i="8"/>
  <c r="C40" i="8" s="1"/>
  <c r="C47" i="8" s="1"/>
  <c r="Q33" i="8"/>
  <c r="G39" i="8" s="1"/>
  <c r="G46" i="8" s="1"/>
  <c r="S25" i="8" a="1"/>
  <c r="O25" i="8" a="1"/>
  <c r="D33" i="8"/>
  <c r="F34" i="8"/>
  <c r="F40" i="8" s="1"/>
  <c r="F47" i="8" s="1"/>
  <c r="R33" i="8"/>
  <c r="R46" i="8" s="1"/>
  <c r="T33" i="8"/>
  <c r="T46" i="8" s="1"/>
  <c r="T32" i="8"/>
  <c r="T45" i="8" s="1"/>
  <c r="R34" i="8"/>
  <c r="R47" i="8" s="1"/>
  <c r="H33" i="8"/>
  <c r="H39" i="8" s="1"/>
  <c r="H46" i="8" s="1"/>
  <c r="Q32" i="8"/>
  <c r="Q34" i="8"/>
  <c r="P33" i="8"/>
  <c r="P46" i="8" s="1"/>
  <c r="P32" i="8"/>
  <c r="M33" i="8"/>
  <c r="C39" i="8" s="1"/>
  <c r="C46" i="8" s="1"/>
  <c r="M32" i="8"/>
  <c r="C38" i="8" s="1"/>
  <c r="C45" i="8" s="1"/>
  <c r="N33" i="8"/>
  <c r="N46" i="8" s="1"/>
  <c r="N34" i="8"/>
  <c r="N47" i="8" s="1"/>
  <c r="D32" i="8"/>
  <c r="D38" i="8" s="1"/>
  <c r="D45" i="8" s="1"/>
  <c r="J33" i="8"/>
  <c r="J39" i="8" s="1"/>
  <c r="J46" i="8" s="1"/>
  <c r="J32" i="8"/>
  <c r="H34" i="8"/>
  <c r="G34" i="8"/>
  <c r="G32" i="8"/>
  <c r="G38" i="8" s="1"/>
  <c r="G45" i="8" s="1"/>
  <c r="F33" i="8"/>
  <c r="F32" i="8"/>
  <c r="F38" i="8" s="1"/>
  <c r="F45" i="8" s="1"/>
  <c r="D34" i="8"/>
  <c r="M27" i="7"/>
  <c r="M26" i="7"/>
  <c r="M25" i="7"/>
  <c r="M45" i="8" l="1"/>
  <c r="H40" i="8"/>
  <c r="H47" i="8" s="1"/>
  <c r="Q46" i="8"/>
  <c r="M47" i="8"/>
  <c r="D39" i="8"/>
  <c r="D46" i="8" s="1"/>
  <c r="J38" i="8"/>
  <c r="J45" i="8" s="1"/>
  <c r="M46" i="8"/>
  <c r="S25" i="8"/>
  <c r="S28" i="8"/>
  <c r="S34" i="8" s="1"/>
  <c r="S27" i="8"/>
  <c r="S33" i="8" s="1"/>
  <c r="S26" i="8"/>
  <c r="G40" i="8"/>
  <c r="G47" i="8" s="1"/>
  <c r="I25" i="8"/>
  <c r="I27" i="8"/>
  <c r="I33" i="8" s="1"/>
  <c r="I28" i="8"/>
  <c r="I34" i="8" s="1"/>
  <c r="I26" i="8"/>
  <c r="I32" i="8" s="1"/>
  <c r="O25" i="8"/>
  <c r="O27" i="8"/>
  <c r="O33" i="8" s="1"/>
  <c r="O28" i="8"/>
  <c r="O34" i="8" s="1"/>
  <c r="O26" i="8"/>
  <c r="F39" i="8"/>
  <c r="F46" i="8" s="1"/>
  <c r="E25" i="8"/>
  <c r="E28" i="8"/>
  <c r="E34" i="8" s="1"/>
  <c r="E27" i="8"/>
  <c r="E33" i="8" s="1"/>
  <c r="E26" i="8"/>
  <c r="E32" i="8" s="1"/>
  <c r="D40" i="8"/>
  <c r="D47" i="8" s="1"/>
  <c r="D5" i="6"/>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S46" i="8" l="1"/>
  <c r="S44" i="8"/>
  <c r="S47" i="8"/>
  <c r="O44" i="8"/>
  <c r="O45" i="8"/>
  <c r="O47" i="8"/>
  <c r="O46" i="8"/>
  <c r="I39" i="8"/>
  <c r="I46" i="8" s="1"/>
  <c r="I40" i="8"/>
  <c r="I47" i="8" s="1"/>
  <c r="I44" i="8"/>
  <c r="E45" i="8"/>
  <c r="E47" i="8"/>
  <c r="E46" i="8"/>
  <c r="E44" i="8"/>
  <c r="S32" i="8"/>
  <c r="I38" i="8" s="1"/>
  <c r="I45" i="8" s="1"/>
  <c r="E39" i="8"/>
  <c r="E40" i="8"/>
  <c r="O32" i="8"/>
  <c r="E38" i="8" s="1"/>
  <c r="E32" i="6"/>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E27" i="7"/>
  <c r="D26" i="7"/>
  <c r="E33" i="7"/>
  <c r="E34" i="7"/>
  <c r="Q31" i="7"/>
  <c r="E35" i="7"/>
  <c r="E36" i="7"/>
  <c r="E37" i="7"/>
  <c r="E38" i="7"/>
  <c r="E39" i="7"/>
  <c r="T46" i="7"/>
  <c r="E40" i="7"/>
  <c r="Q44" i="7"/>
  <c r="E25" i="7"/>
  <c r="E26" i="7"/>
  <c r="P60" i="7"/>
  <c r="Q35" i="7"/>
  <c r="D27" i="7"/>
  <c r="P52" i="7"/>
  <c r="D29" i="7"/>
  <c r="P59" i="7"/>
  <c r="D30" i="7"/>
  <c r="P58" i="7"/>
  <c r="P65" i="7"/>
  <c r="D32" i="7"/>
  <c r="D33" i="7"/>
  <c r="P51" i="7"/>
  <c r="Y65" i="7"/>
  <c r="H39" i="7"/>
  <c r="H30" i="7"/>
  <c r="I28" i="7"/>
  <c r="D38" i="7"/>
  <c r="P64" i="7"/>
  <c r="Z64" i="7"/>
  <c r="D40" i="7"/>
  <c r="U38" i="7"/>
  <c r="U42" i="7"/>
  <c r="I30" i="7"/>
  <c r="H32" i="7"/>
  <c r="H27" i="7"/>
  <c r="D28" i="7"/>
  <c r="Z56" i="7"/>
  <c r="E31" i="7"/>
  <c r="D31" i="7"/>
  <c r="Y57"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U45" i="7"/>
  <c r="F38" i="7"/>
  <c r="Y55" i="7"/>
  <c r="F40" i="7"/>
  <c r="I27" i="7"/>
  <c r="T37" i="7"/>
  <c r="T33" i="7"/>
  <c r="T34" i="7"/>
  <c r="T41" i="7"/>
  <c r="U46" i="7"/>
  <c r="T38" i="7"/>
  <c r="U44" i="7"/>
  <c r="T39" i="7"/>
  <c r="T31" i="7"/>
  <c r="U33" i="7"/>
  <c r="T35" i="7"/>
  <c r="U37" i="7"/>
  <c r="U41" i="7"/>
  <c r="T32" i="7"/>
  <c r="T40" i="7"/>
  <c r="U32" i="7"/>
  <c r="U40" i="7"/>
  <c r="U35" i="7"/>
  <c r="U39" i="7"/>
  <c r="U43" i="7"/>
  <c r="S45" i="7" l="1"/>
  <c r="M35" i="7"/>
  <c r="S45" i="8"/>
  <c r="S44" i="7"/>
  <c r="S33" i="7"/>
  <c r="S39" i="7"/>
  <c r="O32" i="7"/>
  <c r="S34" i="7"/>
  <c r="Q34" i="7"/>
  <c r="Q39" i="7"/>
  <c r="Q46" i="7"/>
  <c r="S43" i="7"/>
  <c r="M40" i="7"/>
  <c r="S32" i="7"/>
  <c r="M33" i="7"/>
  <c r="S35" i="7"/>
  <c r="S36" i="7"/>
  <c r="M36" i="7"/>
  <c r="S42" i="7"/>
  <c r="N36" i="7"/>
  <c r="M31" i="7"/>
  <c r="S37" i="7"/>
  <c r="S38" i="7"/>
  <c r="S31" i="7"/>
  <c r="S41" i="7"/>
  <c r="S40" i="7"/>
  <c r="P33" i="7"/>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F46" i="7" s="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53" i="7"/>
  <c r="F59" i="7"/>
  <c r="E45" i="7" a="1"/>
  <c r="I45" i="7" a="1"/>
  <c r="F60" i="7" l="1"/>
  <c r="F54" i="7"/>
  <c r="F51" i="7"/>
  <c r="H45" i="7"/>
  <c r="F50" i="7"/>
  <c r="F58" i="7"/>
  <c r="F48" i="7"/>
  <c r="F56" i="7"/>
  <c r="F52" i="7"/>
  <c r="F47" i="7"/>
  <c r="F55" i="7"/>
  <c r="H53" i="7"/>
  <c r="H49" i="7"/>
  <c r="H50" i="7"/>
  <c r="F45" i="7"/>
  <c r="F49" i="7"/>
  <c r="F57" i="7"/>
  <c r="C5" i="7"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58" i="7"/>
  <c r="C54" i="7"/>
  <c r="C57" i="7"/>
  <c r="C48" i="7"/>
  <c r="C46" i="7"/>
  <c r="C60" i="7"/>
  <c r="C51" i="7"/>
  <c r="C45" i="7"/>
  <c r="C49" i="7"/>
  <c r="C55" i="7"/>
  <c r="C47" i="7"/>
  <c r="C59" i="7"/>
  <c r="C56" i="7"/>
  <c r="C50" i="7"/>
  <c r="C53" i="7"/>
  <c r="C52" i="7"/>
  <c r="G58" i="7"/>
  <c r="G54" i="7"/>
  <c r="G49" i="7"/>
  <c r="G46" i="7"/>
  <c r="G55" i="7"/>
  <c r="B18" i="7"/>
  <c r="G53" i="7"/>
  <c r="G59" i="7"/>
  <c r="G60" i="7"/>
  <c r="G45" i="7"/>
  <c r="B16" i="7"/>
  <c r="B19" i="7"/>
  <c r="B15" i="7"/>
  <c r="C15" i="7"/>
  <c r="B20" i="7"/>
  <c r="I54" i="7"/>
  <c r="I59" i="7"/>
  <c r="I56" i="7"/>
  <c r="I49" i="7"/>
  <c r="I60" i="7"/>
  <c r="I52" i="7"/>
  <c r="I57" i="7"/>
  <c r="I51" i="7"/>
  <c r="I58" i="7"/>
  <c r="I55" i="7"/>
  <c r="I50" i="7"/>
  <c r="I47" i="7"/>
  <c r="I53" i="7"/>
  <c r="I48" i="7"/>
  <c r="I46" i="7"/>
  <c r="I45" i="7"/>
  <c r="G20" i="7"/>
  <c r="C16" i="7"/>
  <c r="B14" i="7"/>
  <c r="G13" i="7"/>
  <c r="B7" i="7"/>
  <c r="E48" i="7"/>
  <c r="E46" i="7"/>
  <c r="E57" i="7"/>
  <c r="E56" i="7"/>
  <c r="E50" i="7"/>
  <c r="E58" i="7"/>
  <c r="E55" i="7"/>
  <c r="E60" i="7"/>
  <c r="E47" i="7"/>
  <c r="E51" i="7"/>
  <c r="E53" i="7"/>
  <c r="E54" i="7"/>
  <c r="E45" i="7"/>
  <c r="E59" i="7"/>
  <c r="E52" i="7"/>
  <c r="E49" i="7"/>
  <c r="B12" i="7"/>
  <c r="B13" i="7"/>
  <c r="B17" i="7"/>
  <c r="C13" i="7" l="1"/>
  <c r="C7" i="7"/>
  <c r="C14" i="7"/>
  <c r="C19" i="7"/>
  <c r="C6" i="7"/>
  <c r="C5" i="7"/>
  <c r="C9" i="7"/>
  <c r="C12" i="7"/>
  <c r="C8" i="7"/>
  <c r="C10" i="7"/>
  <c r="C17" i="7"/>
  <c r="C18" i="7"/>
  <c r="C11" i="7"/>
  <c r="B6" i="7"/>
  <c r="B10" i="7"/>
  <c r="G17" i="7"/>
  <c r="B11" i="7"/>
  <c r="B9" i="7"/>
  <c r="G18" i="7"/>
  <c r="G16" i="7"/>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<sst xmlns="http://schemas.openxmlformats.org/spreadsheetml/2006/main" count="924" uniqueCount="371">
  <si>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</si>
  <si>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</si>
  <si>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</si>
  <si>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</si>
  <si>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</si>
  <si>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</si>
  <si>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</si>
  <si>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</si>
  <si>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</si>
  <si>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</si>
  <si>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</si>
  <si>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</si>
  <si>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</si>
  <si>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</si>
  <si>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</si>
  <si>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</si>
  <si>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</si>
  <si>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</si>
  <si>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</si>
  <si>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</si>
  <si>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</si>
  <si>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</si>
  <si>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</si>
  <si>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</si>
  <si>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</si>
  <si>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</si>
  <si>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</si>
  <si>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</si>
  <si>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</si>
  <si>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</si>
  <si>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</si>
  <si>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</si>
  <si>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</si>
  <si>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</si>
  <si>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</si>
  <si>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</si>
  <si>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</si>
  <si>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</si>
  <si>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</si>
  <si>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</si>
  <si>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</si>
  <si>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</si>
  <si>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</si>
  <si>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</si>
  <si>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</si>
  <si>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</si>
  <si>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</si>
  <si>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</si>
  <si>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</si>
  <si>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</si>
  <si>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</si>
  <si>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</si>
  <si>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</si>
  <si>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</si>
  <si>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</si>
  <si>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</si>
  <si>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</si>
  <si>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</si>
  <si>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</si>
  <si>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</si>
  <si>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</si>
  <si>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</si>
  <si>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</si>
  <si>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</si>
  <si>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</si>
  <si>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</si>
  <si>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</si>
  <si>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</si>
  <si>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</si>
  <si>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</si>
  <si>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</si>
  <si>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</si>
  <si>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</si>
  <si>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</si>
  <si>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</si>
  <si>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</si>
  <si>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</si>
  <si>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</si>
  <si>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</si>
  <si>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</si>
  <si>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</si>
  <si>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</si>
  <si>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</si>
  <si>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</si>
  <si>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</si>
  <si>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</si>
  <si>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</si>
  <si>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</si>
  <si>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</si>
  <si>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</si>
  <si>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</si>
  <si>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</si>
  <si>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</si>
  <si>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</si>
  <si>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</si>
  <si>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</si>
  <si>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</si>
  <si>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</si>
  <si>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</si>
  <si>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</si>
  <si>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</si>
  <si>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</si>
  <si>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</si>
  <si>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</si>
  <si>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</si>
  <si>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</si>
  <si>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</si>
  <si>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</si>
  <si>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</si>
  <si>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</si>
  <si>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</si>
  <si>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</si>
  <si>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</si>
  <si>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</si>
  <si>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</si>
  <si>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</si>
  <si>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</si>
  <si>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</si>
  <si>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</si>
  <si>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</si>
  <si>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</si>
  <si>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</si>
  <si>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</si>
  <si>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</si>
  <si>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</si>
  <si>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</si>
  <si>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</si>
  <si>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</si>
  <si>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</si>
  <si>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</si>
  <si>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</si>
  <si>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</si>
  <si>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</si>
  <si>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</si>
  <si>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</si>
  <si>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</si>
  <si>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</si>
  <si>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</si>
  <si>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</si>
  <si>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</si>
  <si>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</si>
  <si>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</si>
  <si>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</si>
  <si>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</si>
  <si>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</si>
  <si>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</si>
  <si>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</si>
  <si>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</si>
  <si>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</si>
  <si>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</si>
  <si>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</si>
  <si>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</si>
  <si>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</si>
  <si>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</si>
  <si>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</si>
  <si>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</si>
  <si>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</si>
  <si>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</si>
  <si>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</si>
  <si>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</si>
  <si>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</si>
  <si>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</si>
  <si>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</si>
  <si>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</si>
  <si>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</si>
  <si>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</si>
  <si>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</si>
  <si>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</si>
  <si>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</si>
  <si>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</si>
  <si>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</si>
  <si>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</si>
  <si>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</si>
  <si>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</si>
  <si>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</si>
  <si>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</si>
  <si>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</si>
  <si>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</si>
  <si>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</si>
  <si>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</si>
  <si>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</si>
  <si>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</si>
  <si>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</si>
  <si>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</si>
  <si>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</si>
  <si>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</si>
  <si>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</si>
  <si>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</si>
  <si>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</si>
  <si>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</si>
  <si>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</si>
  <si>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</si>
  <si>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</si>
  <si>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</si>
  <si>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</si>
  <si>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</si>
  <si>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</si>
  <si>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</si>
  <si>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</si>
  <si>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</si>
  <si>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</si>
  <si>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</si>
  <si>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</si>
  <si>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</si>
  <si>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</si>
  <si>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</si>
  <si>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</si>
  <si>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</si>
  <si>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</si>
  <si>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</si>
  <si>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</si>
  <si>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</si>
  <si>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</si>
  <si>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</si>
  <si>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</si>
  <si>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</si>
  <si>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</si>
  <si>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</si>
  <si>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</si>
  <si>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</si>
  <si>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</si>
  <si>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</si>
  <si>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</si>
  <si>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</si>
  <si>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</si>
  <si>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</si>
  <si>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</si>
  <si>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`10-25</t>
  </si>
  <si>
    <t>`25-45</t>
  </si>
  <si>
    <t>`50-70</t>
  </si>
  <si>
    <t>70+</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</si>
  <si>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</si>
  <si>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</si>
  <si>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</si>
  <si>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</si>
  <si>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</si>
  <si>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</si>
  <si>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</si>
  <si>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</si>
  <si>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</si>
  <si>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</si>
  <si>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</si>
  <si>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</si>
  <si>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</si>
  <si>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</si>
  <si>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</si>
  <si>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</si>
  <si>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</si>
  <si>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</si>
  <si>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</si>
  <si>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</si>
  <si>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</si>
  <si>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</si>
  <si>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</si>
  <si>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</si>
  <si>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</si>
  <si>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</si>
  <si>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</si>
  <si>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</si>
  <si>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</si>
  <si>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</si>
  <si>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</si>
  <si>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</si>
  <si>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</si>
  <si>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</si>
  <si>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</si>
  <si>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</si>
  <si>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</si>
  <si>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</si>
  <si>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</si>
  <si>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</si>
  <si>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</si>
  <si>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</si>
  <si>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</si>
  <si>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</si>
  <si>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</si>
  <si>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</si>
  <si>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</si>
  <si>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</si>
  <si>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</si>
  <si>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</si>
  <si>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</si>
  <si>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</si>
  <si>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</si>
  <si>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</si>
  <si>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</si>
  <si>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</si>
  <si>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</si>
  <si>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</si>
  <si>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</si>
  <si>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</si>
  <si>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</si>
  <si>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</si>
  <si>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</si>
  <si>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</si>
  <si>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</si>
  <si>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</si>
  <si>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</si>
  <si>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</si>
  <si>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</si>
  <si>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</si>
  <si>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</si>
  <si>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</si>
  <si>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</si>
  <si>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</si>
  <si>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</si>
  <si>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</si>
  <si>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</si>
  <si>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</si>
  <si>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</si>
  <si>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</si>
  <si>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</si>
  <si>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</si>
  <si>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</si>
  <si>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</si>
  <si>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</si>
  <si>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</si>
  <si>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</si>
  <si>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</si>
  <si>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</si>
  <si>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</si>
  <si>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</si>
  <si>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</si>
  <si>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</si>
  <si>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</si>
  <si>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</si>
  <si>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</si>
  <si>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</si>
  <si>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</si>
  <si>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</si>
  <si>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</si>
  <si>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</si>
  <si>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</si>
  <si>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</si>
  <si>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</si>
  <si>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</si>
  <si>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</si>
  <si>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</si>
  <si>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</si>
  <si>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</si>
  <si>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</si>
  <si>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</si>
  <si>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</si>
  <si>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</si>
  <si>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</si>
  <si>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</si>
  <si>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</si>
  <si>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</si>
  <si>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</si>
  <si>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</si>
  <si>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</si>
  <si>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</si>
  <si>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</si>
  <si>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</si>
  <si>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</si>
  <si>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</si>
  <si>
    <t>Type distributions by stage of infection (based on distributions in later tabs)</t>
  </si>
  <si>
    <t>Source for the type distributions = see later tab</t>
  </si>
  <si>
    <t>CALCULATED BASELINE RATES</t>
  </si>
  <si>
    <t>Detected CC Mortality Rates</t>
  </si>
  <si>
    <r>
      <t xml:space="preserve">Diagnosed and Undiagnosed Mortality. </t>
    </r>
    <r>
      <rPr>
        <sz val="11"/>
        <color theme="1"/>
        <rFont val="Times New Roman"/>
        <family val="1"/>
      </rPr>
      <t xml:space="preserve">Added 1/31/23 for CC treatment. </t>
    </r>
  </si>
  <si>
    <t>0-1</t>
  </si>
  <si>
    <t>1-2</t>
  </si>
  <si>
    <t>2-10</t>
  </si>
  <si>
    <t>Yearly rate</t>
  </si>
  <si>
    <t>Monthly rate</t>
  </si>
  <si>
    <t>Average rate</t>
  </si>
  <si>
    <t xml:space="preserve">From Campos et al. appendix. Monthly estimates were converted to yearly using (1-j)^12 = 1-i, where j = monthly rate and i = yearly rate. The claculation is shown on the right. Campos has separate mortality depending on time from first developing CC. Our model is not capable of adjusting mortality by time, so I took the average of these rates over 9 years, accounting for the "3-10" rates encompassing 7 years. I used the same ratios relative to HIV-negative as above. </t>
  </si>
  <si>
    <t>Detected CC Mortality (Monthly from Campos, Yearly Calculation, and Average Calculation)</t>
  </si>
  <si>
    <t>Undetected CC Mortality</t>
  </si>
  <si>
    <t xml:space="preserve">From Campos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</si>
</sst>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
    <numFmt numFmtId="165" formatCode="0.0"/>
    <numFmt numFmtId="166" formatCode="0.00000"/>
    <numFmt numFmtId="167" formatCode="0.0000"/>
  </numFmts>
  <fonts count="42"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
      <sz val="11"/>
      <color theme="1"/>
      <name val="Times New Roman"/>
      <family val="1"/>
    </font>
    <font>
      <i/>
      <sz val="11"/>
      <color theme="1"/>
      <name val="Times New Roman"/>
      <family val="1"/>
    </font>
    <font>
      <sz val="11"/>
      <color rgb="FFFF0000"/>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74">
    <xf numFmtId="0" fontId="0" fillId="0" borderId="0" xfId="0"/>
    <xf numFmtId="0" fontId="1" fillId="0" borderId="0" xfId="0" applyFont="1"/>
    <xf numFmtId="10" fontId="0" fillId="0" borderId="0" xfId="0" applyNumberFormat="1"/>
    <xf numFmtId="0" fontId="2" fillId="0" borderId="0" xfId="0" applyFont="1"/>
    <xf numFmtId="0" fontId="2" fillId="0" borderId="0" xfId="0" applyFont="1" applyAlignment="1">
      <alignment wrapText="1"/>
    </xf>
    <xf numFmtId="0" fontId="3" fillId="0" borderId="0" xfId="0" applyFont="1"/>
    <xf numFmtId="0" fontId="3" fillId="2" borderId="0" xfId="0" applyFont="1" applyFill="1"/>
    <xf numFmtId="0" fontId="4" fillId="0" borderId="0" xfId="0" applyFont="1"/>
    <xf numFmtId="0" fontId="3" fillId="3" borderId="3" xfId="0" applyFont="1" applyFill="1" applyBorder="1" applyAlignment="1">
      <alignment wrapText="1"/>
    </xf>
    <xf numFmtId="0" fontId="3" fillId="3" borderId="4" xfId="0" applyFont="1" applyFill="1" applyBorder="1" applyAlignment="1">
      <alignment wrapText="1"/>
    </xf>
    <xf numFmtId="0" fontId="3" fillId="3" borderId="5" xfId="0" applyFont="1" applyFill="1" applyBorder="1" applyAlignment="1">
      <alignment wrapText="1"/>
    </xf>
    <xf numFmtId="0" fontId="3" fillId="3" borderId="6" xfId="0" applyFont="1" applyFill="1" applyBorder="1" applyAlignment="1">
      <alignment wrapText="1"/>
    </xf>
    <xf numFmtId="164" fontId="3" fillId="3" borderId="7" xfId="0" applyNumberFormat="1" applyFont="1" applyFill="1" applyBorder="1"/>
    <xf numFmtId="164" fontId="5" fillId="3" borderId="8" xfId="0" applyNumberFormat="1" applyFont="1" applyFill="1" applyBorder="1"/>
    <xf numFmtId="164" fontId="3" fillId="3" borderId="8" xfId="0" applyNumberFormat="1" applyFont="1" applyFill="1" applyBorder="1"/>
    <xf numFmtId="164" fontId="3" fillId="3" borderId="9" xfId="0" applyNumberFormat="1" applyFont="1" applyFill="1" applyBorder="1"/>
    <xf numFmtId="164" fontId="3" fillId="3" borderId="10" xfId="0" applyNumberFormat="1" applyFont="1" applyFill="1" applyBorder="1"/>
    <xf numFmtId="164" fontId="3" fillId="3" borderId="11" xfId="0" applyNumberFormat="1" applyFont="1" applyFill="1" applyBorder="1"/>
    <xf numFmtId="164" fontId="5" fillId="3" borderId="11" xfId="0" applyNumberFormat="1" applyFont="1" applyFill="1" applyBorder="1"/>
    <xf numFmtId="164" fontId="3" fillId="3" borderId="12" xfId="0" applyNumberFormat="1" applyFont="1" applyFill="1" applyBorder="1"/>
    <xf numFmtId="164" fontId="3" fillId="3" borderId="13" xfId="0" applyNumberFormat="1" applyFont="1" applyFill="1" applyBorder="1"/>
    <xf numFmtId="164" fontId="5" fillId="3" borderId="14" xfId="0" applyNumberFormat="1" applyFont="1" applyFill="1" applyBorder="1"/>
    <xf numFmtId="164" fontId="3" fillId="3" borderId="14" xfId="0" applyNumberFormat="1" applyFont="1" applyFill="1" applyBorder="1"/>
    <xf numFmtId="164" fontId="3" fillId="3" borderId="15" xfId="0" applyNumberFormat="1" applyFont="1" applyFill="1" applyBorder="1"/>
    <xf numFmtId="164" fontId="3" fillId="3" borderId="16" xfId="0" applyNumberFormat="1" applyFont="1" applyFill="1" applyBorder="1"/>
    <xf numFmtId="164" fontId="3" fillId="3" borderId="17" xfId="0" applyNumberFormat="1" applyFont="1" applyFill="1" applyBorder="1"/>
    <xf numFmtId="164" fontId="5" fillId="3" borderId="18" xfId="0" applyNumberFormat="1" applyFont="1" applyFill="1" applyBorder="1"/>
    <xf numFmtId="164" fontId="3" fillId="3" borderId="18" xfId="0" applyNumberFormat="1" applyFont="1" applyFill="1" applyBorder="1"/>
    <xf numFmtId="164" fontId="3" fillId="3" borderId="19" xfId="0" applyNumberFormat="1" applyFont="1" applyFill="1" applyBorder="1"/>
    <xf numFmtId="164" fontId="3" fillId="3" borderId="20" xfId="0" applyNumberFormat="1" applyFont="1" applyFill="1" applyBorder="1"/>
    <xf numFmtId="9" fontId="6" fillId="0" borderId="0" xfId="0" applyNumberFormat="1" applyFont="1"/>
    <xf numFmtId="0" fontId="0" fillId="2" borderId="0" xfId="0" applyFill="1"/>
    <xf numFmtId="0" fontId="8" fillId="0" borderId="0" xfId="0" applyFont="1"/>
    <xf numFmtId="0" fontId="7" fillId="0" borderId="1" xfId="0" applyFont="1" applyBorder="1"/>
    <xf numFmtId="0" fontId="8" fillId="0" borderId="1" xfId="0" applyFont="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9" fillId="0" borderId="1" xfId="0" applyFont="1" applyBorder="1"/>
    <xf numFmtId="0" fontId="7" fillId="0" borderId="1" xfId="0" applyFont="1" applyBorder="1" applyAlignment="1">
      <alignment wrapText="1"/>
    </xf>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Border="1" applyAlignment="1">
      <alignment wrapText="1"/>
    </xf>
    <xf numFmtId="0" fontId="0" fillId="4" borderId="0" xfId="0" applyFill="1"/>
    <xf numFmtId="0" fontId="2" fillId="2" borderId="0" xfId="0" applyFont="1" applyFill="1"/>
    <xf numFmtId="0" fontId="1" fillId="2" borderId="0" xfId="0" applyFont="1" applyFill="1"/>
    <xf numFmtId="0" fontId="8" fillId="2" borderId="14" xfId="0" applyFont="1" applyFill="1" applyBorder="1"/>
    <xf numFmtId="49" fontId="8" fillId="0" borderId="14" xfId="0" applyNumberFormat="1" applyFont="1" applyBorder="1"/>
    <xf numFmtId="49" fontId="7" fillId="0" borderId="14" xfId="0" applyNumberFormat="1" applyFont="1" applyBorder="1"/>
    <xf numFmtId="10" fontId="0" fillId="2" borderId="0" xfId="0" applyNumberFormat="1" applyFill="1"/>
    <xf numFmtId="9" fontId="0" fillId="2" borderId="0" xfId="0" applyNumberFormat="1" applyFill="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xf numFmtId="0" fontId="15" fillId="0" borderId="0" xfId="0" applyFont="1"/>
    <xf numFmtId="0" fontId="15" fillId="0" borderId="2" xfId="0" applyFont="1" applyBorder="1" applyAlignment="1">
      <alignment wrapText="1"/>
    </xf>
    <xf numFmtId="0" fontId="15" fillId="2" borderId="0" xfId="0" applyFont="1" applyFill="1"/>
    <xf numFmtId="0" fontId="16" fillId="0" borderId="0" xfId="0" applyFont="1"/>
    <xf numFmtId="0" fontId="15" fillId="0" borderId="14" xfId="0" applyFont="1" applyBorder="1" applyAlignment="1">
      <alignment wrapText="1"/>
    </xf>
    <xf numFmtId="0" fontId="15" fillId="0" borderId="14" xfId="0" applyFont="1" applyBorder="1"/>
    <xf numFmtId="0" fontId="15" fillId="2" borderId="14" xfId="0" applyFont="1" applyFill="1" applyBorder="1"/>
    <xf numFmtId="49" fontId="15" fillId="0" borderId="14" xfId="0" applyNumberFormat="1" applyFont="1" applyBorder="1"/>
    <xf numFmtId="0" fontId="15" fillId="2" borderId="21" xfId="0" applyFont="1" applyFill="1" applyBorder="1"/>
    <xf numFmtId="0" fontId="15" fillId="2" borderId="25" xfId="0" applyFont="1" applyFill="1" applyBorder="1"/>
    <xf numFmtId="0" fontId="15" fillId="2" borderId="8" xfId="0" applyFont="1" applyFill="1" applyBorder="1"/>
    <xf numFmtId="0" fontId="15" fillId="0" borderId="22" xfId="0" applyFont="1" applyBorder="1" applyAlignment="1">
      <alignment wrapText="1"/>
    </xf>
    <xf numFmtId="164" fontId="3" fillId="3" borderId="24" xfId="0" applyNumberFormat="1" applyFont="1" applyFill="1" applyBorder="1"/>
    <xf numFmtId="0" fontId="3" fillId="0" borderId="14" xfId="0" applyFont="1" applyBorder="1"/>
    <xf numFmtId="49" fontId="3" fillId="0" borderId="14" xfId="0" applyNumberFormat="1" applyFont="1" applyBorder="1"/>
    <xf numFmtId="0" fontId="3" fillId="0" borderId="23" xfId="0" applyFont="1" applyBorder="1"/>
    <xf numFmtId="0" fontId="3" fillId="0" borderId="21" xfId="0" applyFont="1" applyBorder="1"/>
    <xf numFmtId="0" fontId="3" fillId="0" borderId="24" xfId="0" applyFont="1" applyBorder="1"/>
    <xf numFmtId="0" fontId="3" fillId="0" borderId="14" xfId="0" applyFont="1" applyBorder="1" applyAlignment="1">
      <alignment wrapText="1"/>
    </xf>
    <xf numFmtId="0" fontId="6" fillId="0" borderId="14" xfId="0" applyFont="1" applyBorder="1" applyAlignment="1">
      <alignment wrapText="1"/>
    </xf>
    <xf numFmtId="0" fontId="15" fillId="0" borderId="14" xfId="0" applyFont="1" applyBorder="1" applyAlignment="1">
      <alignment horizontal="right"/>
    </xf>
    <xf numFmtId="2" fontId="15" fillId="2" borderId="14" xfId="0" applyNumberFormat="1" applyFont="1" applyFill="1" applyBorder="1"/>
    <xf numFmtId="0" fontId="16" fillId="2" borderId="0" xfId="0" applyFont="1" applyFill="1"/>
    <xf numFmtId="0" fontId="17" fillId="2" borderId="0" xfId="0" applyFont="1" applyFill="1"/>
    <xf numFmtId="0" fontId="7" fillId="0" borderId="0" xfId="0" applyFont="1"/>
    <xf numFmtId="0" fontId="15" fillId="0" borderId="25" xfId="0" applyFont="1" applyBorder="1"/>
    <xf numFmtId="0" fontId="15" fillId="0" borderId="21" xfId="0" applyFont="1" applyBorder="1"/>
    <xf numFmtId="0" fontId="15" fillId="0" borderId="8" xfId="0" applyFont="1" applyBorder="1"/>
    <xf numFmtId="164" fontId="0" fillId="0" borderId="0" xfId="0" applyNumberFormat="1"/>
    <xf numFmtId="0" fontId="0" fillId="5" borderId="3" xfId="0" applyFill="1" applyBorder="1" applyAlignment="1">
      <alignment wrapText="1"/>
    </xf>
    <xf numFmtId="0" fontId="0" fillId="5" borderId="4" xfId="0" applyFill="1" applyBorder="1" applyAlignment="1">
      <alignment wrapText="1"/>
    </xf>
    <xf numFmtId="0" fontId="0" fillId="5" borderId="5" xfId="0" applyFill="1" applyBorder="1" applyAlignment="1">
      <alignment wrapText="1"/>
    </xf>
    <xf numFmtId="0" fontId="0" fillId="5" borderId="6" xfId="0"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Font="1" applyBorder="1" applyAlignment="1">
      <alignment wrapText="1"/>
    </xf>
    <xf numFmtId="0" fontId="15" fillId="0" borderId="26" xfId="0" applyFont="1" applyBorder="1" applyAlignment="1">
      <alignment wrapText="1"/>
    </xf>
    <xf numFmtId="0" fontId="15" fillId="0" borderId="27" xfId="0" applyFont="1" applyBorder="1" applyAlignment="1">
      <alignment wrapText="1"/>
    </xf>
    <xf numFmtId="0" fontId="0" fillId="0" borderId="25" xfId="0" applyBorder="1"/>
    <xf numFmtId="0" fontId="0" fillId="0" borderId="8" xfId="0" applyBorder="1"/>
    <xf numFmtId="0" fontId="0" fillId="6" borderId="30" xfId="0" applyFill="1" applyBorder="1"/>
    <xf numFmtId="0" fontId="15" fillId="6" borderId="0" xfId="0" applyFont="1" applyFill="1"/>
    <xf numFmtId="0" fontId="15" fillId="6" borderId="25" xfId="0" applyFont="1" applyFill="1" applyBorder="1"/>
    <xf numFmtId="164" fontId="15" fillId="6" borderId="0" xfId="0" applyNumberFormat="1" applyFont="1" applyFill="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Font="1" applyFill="1" applyBorder="1" applyAlignment="1">
      <alignment wrapText="1"/>
    </xf>
    <xf numFmtId="0" fontId="0" fillId="4" borderId="14" xfId="0" applyFill="1" applyBorder="1" applyAlignment="1">
      <alignment wrapText="1"/>
    </xf>
    <xf numFmtId="0" fontId="0" fillId="5" borderId="2" xfId="0"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12" fillId="6" borderId="0" xfId="0" applyFont="1" applyFill="1"/>
    <xf numFmtId="0" fontId="12" fillId="0" borderId="0" xfId="0" applyFont="1"/>
    <xf numFmtId="0" fontId="12" fillId="0" borderId="21" xfId="0" applyFont="1" applyBorder="1"/>
    <xf numFmtId="0" fontId="12" fillId="6" borderId="25" xfId="0" applyFont="1" applyFill="1" applyBorder="1"/>
    <xf numFmtId="0" fontId="12" fillId="0" borderId="25" xfId="0" applyFont="1" applyBorder="1"/>
    <xf numFmtId="0" fontId="12" fillId="0" borderId="8" xfId="0" applyFont="1" applyBorder="1"/>
    <xf numFmtId="0" fontId="13" fillId="0" borderId="0" xfId="0" applyFont="1"/>
    <xf numFmtId="0" fontId="0" fillId="0" borderId="30" xfId="0" applyBorder="1"/>
    <xf numFmtId="0" fontId="0" fillId="0" borderId="14" xfId="0" applyBorder="1"/>
    <xf numFmtId="0" fontId="3" fillId="5" borderId="14" xfId="0" applyFont="1" applyFill="1" applyBorder="1"/>
    <xf numFmtId="0" fontId="26" fillId="0" borderId="0" xfId="1"/>
    <xf numFmtId="0" fontId="29" fillId="0" borderId="0" xfId="1" applyFont="1"/>
    <xf numFmtId="0" fontId="29" fillId="15" borderId="0" xfId="1" applyFont="1" applyFill="1"/>
    <xf numFmtId="0" fontId="24" fillId="15" borderId="0" xfId="1" applyFont="1" applyFill="1"/>
    <xf numFmtId="165" fontId="29" fillId="0" borderId="0" xfId="1" applyNumberFormat="1" applyFont="1"/>
    <xf numFmtId="0" fontId="28" fillId="0" borderId="0" xfId="1" applyFont="1" applyAlignment="1">
      <alignment wrapText="1"/>
    </xf>
    <xf numFmtId="166" fontId="29" fillId="0" borderId="0" xfId="1" applyNumberFormat="1" applyFont="1"/>
    <xf numFmtId="0" fontId="26" fillId="0" borderId="0" xfId="1" applyAlignment="1">
      <alignment wrapText="1"/>
    </xf>
    <xf numFmtId="0" fontId="29" fillId="0" borderId="0" xfId="1" applyFont="1" applyAlignment="1">
      <alignment horizontal="center" vertical="center"/>
    </xf>
    <xf numFmtId="0" fontId="29" fillId="0" borderId="0" xfId="1" applyFont="1" applyAlignment="1">
      <alignment vertical="center"/>
    </xf>
    <xf numFmtId="166"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7" fontId="29" fillId="0" borderId="0" xfId="1" applyNumberFormat="1" applyFont="1"/>
    <xf numFmtId="0" fontId="24" fillId="0" borderId="0" xfId="1" applyFont="1"/>
    <xf numFmtId="2" fontId="29" fillId="0" borderId="0" xfId="1" applyNumberFormat="1" applyFont="1" applyAlignment="1">
      <alignment horizontal="center" vertical="center"/>
    </xf>
    <xf numFmtId="167" fontId="29" fillId="0" borderId="0" xfId="1" applyNumberFormat="1" applyFont="1" applyAlignment="1">
      <alignment vertical="center"/>
    </xf>
    <xf numFmtId="167" fontId="29" fillId="15" borderId="0" xfId="1" applyNumberFormat="1" applyFont="1" applyFill="1" applyAlignment="1">
      <alignment vertical="center"/>
    </xf>
    <xf numFmtId="0" fontId="27" fillId="0" borderId="0" xfId="1" applyFo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xf numFmtId="0" fontId="29" fillId="11" borderId="0" xfId="1" applyFont="1" applyFill="1"/>
    <xf numFmtId="0" fontId="29" fillId="10" borderId="0" xfId="1" applyFont="1" applyFill="1"/>
    <xf numFmtId="0" fontId="29" fillId="9" borderId="0" xfId="1" applyFont="1" applyFill="1"/>
    <xf numFmtId="0" fontId="25" fillId="9" borderId="0" xfId="1" applyFont="1" applyFill="1"/>
    <xf numFmtId="0" fontId="30" fillId="8" borderId="0" xfId="1" applyFont="1" applyFill="1"/>
    <xf numFmtId="0" fontId="30" fillId="7" borderId="0" xfId="1" applyFont="1" applyFill="1" applyAlignment="1">
      <alignment wrapText="1"/>
    </xf>
    <xf numFmtId="0" fontId="26" fillId="16" borderId="0" xfId="1" applyFill="1"/>
    <xf numFmtId="0" fontId="29" fillId="16" borderId="0" xfId="1" applyFont="1" applyFill="1"/>
    <xf numFmtId="0" fontId="29" fillId="16" borderId="0" xfId="1" applyFont="1" applyFill="1" applyAlignment="1">
      <alignment vertical="center"/>
    </xf>
    <xf numFmtId="166" fontId="29" fillId="16" borderId="0" xfId="1" applyNumberFormat="1" applyFont="1" applyFill="1" applyAlignment="1">
      <alignment vertical="center"/>
    </xf>
    <xf numFmtId="0" fontId="31" fillId="0" borderId="0" xfId="1" applyFont="1"/>
    <xf numFmtId="166" fontId="32" fillId="0" borderId="0" xfId="1" applyNumberFormat="1" applyFont="1"/>
    <xf numFmtId="167" fontId="32" fillId="0" borderId="0" xfId="1" applyNumberFormat="1" applyFont="1"/>
    <xf numFmtId="2" fontId="29" fillId="0" borderId="0" xfId="1" applyNumberFormat="1" applyFont="1" applyAlignment="1">
      <alignment vertical="center"/>
    </xf>
    <xf numFmtId="0" fontId="26" fillId="17" borderId="0" xfId="1" applyFill="1"/>
    <xf numFmtId="0" fontId="29" fillId="0" borderId="0" xfId="0" applyFont="1"/>
    <xf numFmtId="0" fontId="33" fillId="0" borderId="0" xfId="1" applyFont="1"/>
    <xf numFmtId="0" fontId="33" fillId="0" borderId="0" xfId="0" applyFont="1"/>
    <xf numFmtId="0" fontId="33" fillId="0" borderId="0" xfId="1" applyFont="1" applyAlignment="1">
      <alignment wrapText="1"/>
    </xf>
    <xf numFmtId="0" fontId="34" fillId="18" borderId="0" xfId="1" applyFont="1" applyFill="1"/>
    <xf numFmtId="0" fontId="35" fillId="20" borderId="0" xfId="1" applyFont="1" applyFill="1"/>
    <xf numFmtId="0" fontId="35" fillId="22" borderId="0" xfId="1" applyFont="1" applyFill="1"/>
    <xf numFmtId="0" fontId="29" fillId="23" borderId="0" xfId="0" applyFont="1" applyFill="1"/>
    <xf numFmtId="0" fontId="29" fillId="23" borderId="0" xfId="1" applyFont="1" applyFill="1"/>
    <xf numFmtId="0" fontId="24" fillId="23" borderId="0" xfId="1" applyFont="1" applyFill="1"/>
    <xf numFmtId="165" fontId="26" fillId="0" borderId="0" xfId="1" applyNumberFormat="1"/>
    <xf numFmtId="167" fontId="29" fillId="0" borderId="0" xfId="1" applyNumberFormat="1" applyFont="1" applyAlignment="1">
      <alignment horizontal="center" vertical="center"/>
    </xf>
    <xf numFmtId="0" fontId="29" fillId="23" borderId="0" xfId="1" applyFont="1" applyFill="1" applyAlignment="1">
      <alignment vertical="center"/>
    </xf>
    <xf numFmtId="167" fontId="26" fillId="0" borderId="0" xfId="1" applyNumberFormat="1"/>
    <xf numFmtId="167" fontId="29" fillId="23" borderId="0" xfId="1" applyNumberFormat="1" applyFont="1" applyFill="1" applyAlignment="1">
      <alignment vertical="center"/>
    </xf>
    <xf numFmtId="167" fontId="29" fillId="23" borderId="0" xfId="1" applyNumberFormat="1" applyFont="1" applyFill="1"/>
    <xf numFmtId="0" fontId="30" fillId="0" borderId="0" xfId="0" applyFont="1"/>
    <xf numFmtId="0" fontId="10" fillId="0" borderId="14" xfId="0" applyFont="1" applyBorder="1" applyAlignment="1">
      <alignment horizontal="right" vertical="center"/>
    </xf>
    <xf numFmtId="0" fontId="18" fillId="0" borderId="0" xfId="0" applyFont="1"/>
    <xf numFmtId="0" fontId="1" fillId="0" borderId="0" xfId="0" applyFont="1" applyAlignment="1">
      <alignment horizontal="lef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7" fillId="0" borderId="2" xfId="0" applyFont="1" applyBorder="1"/>
    <xf numFmtId="0" fontId="8" fillId="2" borderId="30" xfId="0" applyFont="1" applyFill="1" applyBorder="1"/>
    <xf numFmtId="0" fontId="37" fillId="0" borderId="0" xfId="0" applyFont="1" applyAlignment="1">
      <alignment wrapText="1"/>
    </xf>
    <xf numFmtId="0" fontId="38" fillId="2" borderId="0" xfId="0" applyFont="1" applyFill="1"/>
    <xf numFmtId="0" fontId="2" fillId="0" borderId="0" xfId="0" applyFont="1" applyAlignment="1">
      <alignment vertical="center" wrapText="1"/>
    </xf>
    <xf numFmtId="0" fontId="7" fillId="0" borderId="0" xfId="0" applyFont="1" applyAlignment="1">
      <alignment wrapText="1"/>
    </xf>
    <xf numFmtId="0" fontId="0" fillId="0" borderId="0" xfId="0" applyAlignment="1">
      <alignment wrapText="1"/>
    </xf>
    <xf numFmtId="0" fontId="8" fillId="2" borderId="14" xfId="0" applyFont="1" applyFill="1" applyBorder="1" applyAlignment="1">
      <alignment horizontal="right" wrapText="1"/>
    </xf>
    <xf numFmtId="2" fontId="0" fillId="6" borderId="14" xfId="0" applyNumberFormat="1" applyFill="1" applyBorder="1"/>
    <xf numFmtId="167" fontId="0" fillId="0" borderId="0" xfId="0" applyNumberFormat="1"/>
    <xf numFmtId="167" fontId="0" fillId="0" borderId="30" xfId="0" applyNumberFormat="1" applyBorder="1"/>
    <xf numFmtId="167" fontId="0" fillId="0" borderId="25" xfId="0" applyNumberFormat="1" applyBorder="1"/>
    <xf numFmtId="167" fontId="0" fillId="0" borderId="8" xfId="0" applyNumberFormat="1" applyBorder="1"/>
    <xf numFmtId="167" fontId="15" fillId="0" borderId="14" xfId="0" applyNumberFormat="1" applyFont="1" applyBorder="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Font="1" applyBorder="1" applyAlignment="1">
      <alignment horizontal="center" wrapText="1"/>
    </xf>
    <xf numFmtId="0" fontId="15" fillId="0" borderId="14" xfId="0" applyFont="1" applyBorder="1" applyAlignment="1">
      <alignment horizontal="center"/>
    </xf>
    <xf numFmtId="0" fontId="29" fillId="0" borderId="0" xfId="1" applyFont="1"/>
    <xf numFmtId="0" fontId="26" fillId="0" borderId="0" xfId="1"/>
    <xf numFmtId="2" fontId="29" fillId="0" borderId="0" xfId="1" applyNumberFormat="1" applyFont="1" applyAlignment="1">
      <alignment horizontal="center" vertical="center"/>
    </xf>
    <xf numFmtId="167" fontId="29" fillId="0" borderId="0" xfId="1" applyNumberFormat="1" applyFont="1" applyAlignment="1">
      <alignment horizontal="center" vertical="center"/>
    </xf>
    <xf numFmtId="167" fontId="26" fillId="0" borderId="0" xfId="1" applyNumberFormat="1"/>
    <xf numFmtId="0" fontId="29" fillId="0" borderId="0" xfId="0" applyFont="1"/>
    <xf numFmtId="0" fontId="0" fillId="0" borderId="0" xfId="0"/>
    <xf numFmtId="0" fontId="29" fillId="0" borderId="0" xfId="1" applyFont="1" applyAlignment="1">
      <alignment horizontal="left" wrapText="1"/>
    </xf>
    <xf numFmtId="0" fontId="33" fillId="0" borderId="0" xfId="1" applyFont="1"/>
    <xf numFmtId="0" fontId="31" fillId="0" borderId="0" xfId="1" applyFont="1" applyAlignment="1">
      <alignment horizontal="left"/>
    </xf>
    <xf numFmtId="0" fontId="29" fillId="0" borderId="0" xfId="1" applyFont="1" applyAlignment="1">
      <alignment horizontal="center" vertical="center"/>
    </xf>
    <xf numFmtId="0" fontId="29" fillId="21" borderId="0" xfId="0" applyFont="1" applyFill="1"/>
    <xf numFmtId="0" fontId="33" fillId="0" borderId="0" xfId="0" applyFont="1"/>
    <xf numFmtId="0" fontId="29" fillId="14" borderId="0" xfId="1" applyFont="1" applyFill="1"/>
    <xf numFmtId="0" fontId="29" fillId="0" borderId="0" xfId="1" applyFont="1" applyAlignment="1">
      <alignment wrapText="1"/>
    </xf>
    <xf numFmtId="0" fontId="30" fillId="7" borderId="0" xfId="1" applyFont="1" applyFill="1" applyAlignment="1">
      <alignment wrapText="1"/>
    </xf>
    <xf numFmtId="0" fontId="30" fillId="8" borderId="0" xfId="1" applyFont="1" applyFill="1"/>
    <xf numFmtId="0" fontId="29" fillId="11" borderId="0" xfId="1" applyFont="1" applyFill="1"/>
    <xf numFmtId="0" fontId="29" fillId="12" borderId="0" xfId="1" applyFont="1" applyFill="1"/>
    <xf numFmtId="0" fontId="29" fillId="13" borderId="0" xfId="1" applyFont="1" applyFill="1"/>
    <xf numFmtId="0" fontId="29" fillId="0" borderId="0" xfId="1" applyFont="1" applyAlignment="1">
      <alignment vertical="center"/>
    </xf>
    <xf numFmtId="167" fontId="29" fillId="0" borderId="0" xfId="1" applyNumberFormat="1" applyFont="1" applyAlignment="1">
      <alignment vertical="center"/>
    </xf>
    <xf numFmtId="0" fontId="26" fillId="0" borderId="0" xfId="1" applyAlignment="1">
      <alignment horizontal="center"/>
    </xf>
    <xf numFmtId="0" fontId="33" fillId="0" borderId="0" xfId="1" applyFont="1" applyAlignment="1">
      <alignment wrapText="1"/>
    </xf>
    <xf numFmtId="166" fontId="29" fillId="0" borderId="0" xfId="1" applyNumberFormat="1" applyFont="1" applyAlignment="1">
      <alignment vertical="center"/>
    </xf>
    <xf numFmtId="167" fontId="26" fillId="0" borderId="0" xfId="1" applyNumberForma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8" fillId="0" borderId="0" xfId="0" applyFont="1" applyFill="1" applyBorder="1" applyAlignment="1">
      <alignment horizontal="left" vertical="top" wrapText="1"/>
    </xf>
    <xf numFmtId="0" fontId="36" fillId="2" borderId="0" xfId="0" applyFont="1" applyFill="1"/>
    <xf numFmtId="0" fontId="40" fillId="2" borderId="0" xfId="0" applyFont="1" applyFill="1"/>
    <xf numFmtId="0" fontId="39" fillId="0" borderId="0" xfId="0" applyFont="1"/>
    <xf numFmtId="0" fontId="41" fillId="0" borderId="0" xfId="0" applyFont="1"/>
    <xf numFmtId="0" fontId="36" fillId="0" borderId="0" xfId="0" applyFont="1" applyAlignment="1">
      <alignment wrapText="1"/>
    </xf>
    <xf numFmtId="0" fontId="39" fillId="2" borderId="0" xfId="0" applyFont="1" applyFill="1"/>
    <xf numFmtId="0" fontId="36" fillId="0" borderId="0" xfId="0" applyFont="1"/>
    <xf numFmtId="0" fontId="39" fillId="0" borderId="14" xfId="0" applyFont="1" applyBorder="1"/>
    <xf numFmtId="49" fontId="39" fillId="0" borderId="14" xfId="0" applyNumberFormat="1" applyFont="1" applyBorder="1"/>
  </cellXfs>
  <cellStyles count="2">
    <cellStyle name="Normal" xfId="0" builtinId="0"/>
    <cellStyle name="Normal 2" xfId="1" xr:uid="{00000000-0005-0000-0000-00000100000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4"/>
  <sheetViews>
    <sheetView zoomScale="90" zoomScaleNormal="90" workbookViewId="0">
      <selection activeCell="F34" sqref="F34"/>
    </sheetView>
  </sheetViews>
  <sheetFormatPr baseColWidth="10" defaultColWidth="8.83203125" defaultRowHeight="15" x14ac:dyDescent="0.2"/>
  <cols>
    <col min="1" max="1" width="36.5" customWidth="1"/>
    <col min="2" max="2" width="12.33203125" customWidth="1"/>
    <col min="4" max="4" width="8.6640625" customWidth="1"/>
    <col min="5" max="5" width="21.5" customWidth="1"/>
    <col min="6" max="6" width="19.33203125" customWidth="1"/>
    <col min="7" max="7" width="10.5" customWidth="1"/>
    <col min="8" max="8" width="8.6640625"/>
    <col min="9" max="9" width="27.1640625" customWidth="1"/>
    <col min="11" max="11" width="30.1640625" bestFit="1" customWidth="1"/>
    <col min="12" max="12" width="10.83203125" bestFit="1" customWidth="1"/>
    <col min="16" max="16" width="25" customWidth="1"/>
    <col min="20" max="20" width="15.5" customWidth="1"/>
    <col min="21" max="22" width="49.83203125" bestFit="1" customWidth="1"/>
    <col min="23" max="23" width="13.5" customWidth="1"/>
    <col min="25" max="25" width="11.83203125" bestFit="1" customWidth="1"/>
  </cols>
  <sheetData>
    <row r="1" spans="1:21" ht="16" x14ac:dyDescent="0.2">
      <c r="A1" s="36" t="s">
        <v>196</v>
      </c>
      <c r="B1" s="37"/>
      <c r="C1" s="37"/>
      <c r="D1" s="37"/>
      <c r="E1" s="31"/>
      <c r="F1" s="31"/>
      <c r="G1" s="31"/>
      <c r="H1" s="31"/>
      <c r="I1" s="31"/>
      <c r="J1" s="31"/>
      <c r="K1" s="31"/>
      <c r="L1" s="31"/>
      <c r="M1" s="31"/>
      <c r="N1" s="31"/>
      <c r="O1" s="31"/>
      <c r="P1" s="31"/>
      <c r="Q1" s="31"/>
      <c r="R1" s="31"/>
      <c r="S1" s="31"/>
      <c r="T1" s="31"/>
      <c r="U1" s="31"/>
    </row>
    <row r="2" spans="1:21" ht="16" x14ac:dyDescent="0.2">
      <c r="A2" s="224" t="s">
        <v>65</v>
      </c>
      <c r="B2" s="224"/>
      <c r="C2" s="224"/>
      <c r="D2" s="224"/>
      <c r="F2" s="224" t="s">
        <v>216</v>
      </c>
      <c r="G2" s="224"/>
      <c r="H2" s="224"/>
      <c r="I2" s="224"/>
      <c r="J2" s="32"/>
      <c r="K2" s="32"/>
      <c r="L2" s="32"/>
    </row>
    <row r="3" spans="1:21" ht="51" x14ac:dyDescent="0.2">
      <c r="A3" s="33" t="s">
        <v>16</v>
      </c>
      <c r="B3" s="40" t="s">
        <v>20</v>
      </c>
      <c r="C3" s="33" t="s">
        <v>1</v>
      </c>
      <c r="D3" s="33" t="s">
        <v>2</v>
      </c>
      <c r="F3" s="42" t="s">
        <v>16</v>
      </c>
      <c r="G3" s="54" t="s">
        <v>217</v>
      </c>
      <c r="H3" s="42" t="s">
        <v>1</v>
      </c>
      <c r="I3" s="42" t="s">
        <v>2</v>
      </c>
      <c r="J3" s="32"/>
      <c r="L3" s="32"/>
    </row>
    <row r="4" spans="1:21" ht="17" x14ac:dyDescent="0.2">
      <c r="A4" s="34" t="s">
        <v>17</v>
      </c>
      <c r="B4" s="34">
        <f>1/G4</f>
        <v>1</v>
      </c>
      <c r="C4" s="34">
        <f>1/H4</f>
        <v>1</v>
      </c>
      <c r="D4" s="34">
        <f>1/I4</f>
        <v>1</v>
      </c>
      <c r="F4" s="44" t="s">
        <v>17</v>
      </c>
      <c r="G4" s="43">
        <v>1</v>
      </c>
      <c r="H4" s="43">
        <v>1</v>
      </c>
      <c r="I4" s="43">
        <v>1</v>
      </c>
      <c r="J4" s="32"/>
      <c r="L4" s="32"/>
    </row>
    <row r="5" spans="1:21" ht="47.25" customHeight="1" x14ac:dyDescent="0.2">
      <c r="A5" s="41" t="s">
        <v>18</v>
      </c>
      <c r="B5" s="34">
        <f t="shared" ref="B5:B7" si="0">1/G5</f>
        <v>0.32051282051282048</v>
      </c>
      <c r="C5" s="34">
        <f t="shared" ref="C5:C7" si="1">1/H5</f>
        <v>0.42372881355932207</v>
      </c>
      <c r="D5" s="34">
        <f t="shared" ref="D5:D7" si="2">1/I5</f>
        <v>0.24271844660194175</v>
      </c>
      <c r="F5" s="44" t="s">
        <v>18</v>
      </c>
      <c r="G5" s="43">
        <v>3.12</v>
      </c>
      <c r="H5" s="43">
        <v>2.36</v>
      </c>
      <c r="I5" s="43">
        <v>4.12</v>
      </c>
      <c r="J5" s="32"/>
      <c r="K5" s="35"/>
      <c r="L5" s="32"/>
    </row>
    <row r="6" spans="1:21" ht="47.5" customHeight="1" x14ac:dyDescent="0.2">
      <c r="A6" s="41" t="s">
        <v>64</v>
      </c>
      <c r="B6" s="34">
        <f t="shared" si="0"/>
        <v>0.17301038062283736</v>
      </c>
      <c r="C6" s="34">
        <f t="shared" si="1"/>
        <v>0.23980815347721823</v>
      </c>
      <c r="D6" s="34">
        <f t="shared" si="2"/>
        <v>0.12376237623762376</v>
      </c>
      <c r="F6" s="44" t="s">
        <v>64</v>
      </c>
      <c r="G6" s="43">
        <v>5.78</v>
      </c>
      <c r="H6" s="43">
        <v>4.17</v>
      </c>
      <c r="I6" s="43">
        <v>8.08</v>
      </c>
      <c r="J6" s="32"/>
      <c r="K6" s="32"/>
      <c r="L6" s="32"/>
    </row>
    <row r="7" spans="1:21" ht="34" x14ac:dyDescent="0.2">
      <c r="A7" s="41" t="s">
        <v>19</v>
      </c>
      <c r="B7" s="34">
        <f t="shared" si="0"/>
        <v>9.8716683119447174E-2</v>
      </c>
      <c r="C7" s="34">
        <f t="shared" si="1"/>
        <v>0.13661202185792348</v>
      </c>
      <c r="D7" s="34">
        <f t="shared" si="2"/>
        <v>7.1225071225071226E-2</v>
      </c>
      <c r="F7" s="44" t="s">
        <v>19</v>
      </c>
      <c r="G7" s="43">
        <v>10.130000000000001</v>
      </c>
      <c r="H7" s="43">
        <v>7.32</v>
      </c>
      <c r="I7" s="43">
        <v>14.04</v>
      </c>
      <c r="J7" s="32"/>
      <c r="K7" s="32"/>
      <c r="L7" s="32"/>
    </row>
    <row r="8" spans="1:21" ht="16" x14ac:dyDescent="0.2">
      <c r="A8" s="32"/>
      <c r="B8" s="32"/>
      <c r="C8" s="32"/>
      <c r="D8" s="32"/>
      <c r="F8" s="35" t="s">
        <v>218</v>
      </c>
      <c r="G8" s="32"/>
      <c r="H8" s="32"/>
      <c r="I8" s="32"/>
      <c r="J8" s="32"/>
      <c r="K8" s="85"/>
      <c r="L8" s="32"/>
    </row>
    <row r="9" spans="1:21" ht="16" x14ac:dyDescent="0.2">
      <c r="A9" s="32"/>
      <c r="B9" s="32"/>
      <c r="C9" s="32"/>
      <c r="D9" s="32"/>
      <c r="F9" s="35" t="s">
        <v>219</v>
      </c>
      <c r="K9" s="3"/>
    </row>
    <row r="10" spans="1:21" ht="16" x14ac:dyDescent="0.2">
      <c r="A10" s="32"/>
      <c r="B10" s="32"/>
      <c r="C10" s="32"/>
      <c r="D10" s="32"/>
      <c r="K10" s="3"/>
    </row>
    <row r="11" spans="1:21" ht="16" x14ac:dyDescent="0.2">
      <c r="A11" s="32"/>
      <c r="B11" s="32"/>
      <c r="C11" s="32"/>
      <c r="D11" s="32"/>
      <c r="K11" s="3"/>
    </row>
    <row r="12" spans="1:21" ht="16" x14ac:dyDescent="0.2">
      <c r="A12" s="32"/>
      <c r="B12" s="32"/>
      <c r="C12" s="32"/>
      <c r="D12" s="32"/>
      <c r="K12" s="1"/>
      <c r="L12" s="1"/>
      <c r="M12" s="1"/>
      <c r="N12" s="1"/>
    </row>
    <row r="13" spans="1:21" ht="16" x14ac:dyDescent="0.2">
      <c r="A13" s="36" t="s">
        <v>196</v>
      </c>
      <c r="B13" s="37"/>
      <c r="C13" s="37"/>
      <c r="D13" s="37"/>
      <c r="E13" s="31"/>
      <c r="F13" s="31"/>
      <c r="G13" s="31"/>
      <c r="H13" s="31"/>
      <c r="I13" s="31"/>
      <c r="J13" s="31"/>
      <c r="K13" s="31"/>
      <c r="L13" s="31"/>
      <c r="M13" s="31"/>
      <c r="N13" s="31"/>
      <c r="O13" s="31"/>
      <c r="P13" s="31"/>
      <c r="Q13" s="31"/>
      <c r="R13" s="31"/>
      <c r="S13" s="31"/>
      <c r="T13" s="31"/>
      <c r="U13" s="31"/>
    </row>
    <row r="14" spans="1:21" ht="16" x14ac:dyDescent="0.2">
      <c r="A14" s="38" t="s">
        <v>71</v>
      </c>
      <c r="B14" s="37"/>
      <c r="C14" s="37"/>
      <c r="D14" s="37"/>
      <c r="E14" s="31"/>
      <c r="F14" s="31"/>
      <c r="G14" s="31"/>
      <c r="H14" s="31"/>
      <c r="I14" s="31"/>
      <c r="J14" s="31"/>
      <c r="K14" s="31"/>
      <c r="L14" s="31"/>
      <c r="M14" s="31"/>
      <c r="N14" s="31"/>
      <c r="O14" s="31"/>
      <c r="P14" s="31"/>
      <c r="Q14" s="31"/>
      <c r="R14" s="31"/>
      <c r="S14" s="31"/>
      <c r="T14" s="31"/>
      <c r="U14" s="31"/>
    </row>
    <row r="15" spans="1:21" ht="16" x14ac:dyDescent="0.2">
      <c r="A15" s="38" t="s">
        <v>72</v>
      </c>
      <c r="B15" s="37"/>
      <c r="C15" s="37"/>
      <c r="D15" s="37"/>
      <c r="E15" s="31"/>
      <c r="F15" s="31"/>
      <c r="G15" s="31"/>
      <c r="H15" s="31"/>
      <c r="I15" s="31"/>
      <c r="J15" s="31"/>
      <c r="K15" s="31"/>
      <c r="L15" s="31"/>
      <c r="M15" s="31"/>
      <c r="N15" s="31"/>
      <c r="O15" s="31"/>
      <c r="P15" s="31"/>
      <c r="Q15" s="31"/>
      <c r="R15" s="31"/>
      <c r="S15" s="31"/>
      <c r="T15" s="31"/>
      <c r="U15" s="31"/>
    </row>
    <row r="16" spans="1:21" ht="16" x14ac:dyDescent="0.2">
      <c r="A16" s="224" t="s">
        <v>66</v>
      </c>
      <c r="B16" s="224"/>
      <c r="C16" s="224"/>
      <c r="D16" s="224"/>
      <c r="K16" s="1"/>
    </row>
    <row r="17" spans="1:21" ht="16" x14ac:dyDescent="0.2">
      <c r="A17" s="39" t="s">
        <v>67</v>
      </c>
      <c r="B17" s="39" t="s">
        <v>26</v>
      </c>
      <c r="C17" s="34" t="s">
        <v>2</v>
      </c>
      <c r="D17" s="34" t="s">
        <v>1</v>
      </c>
    </row>
    <row r="18" spans="1:21" ht="16" x14ac:dyDescent="0.2">
      <c r="A18" s="34" t="s">
        <v>68</v>
      </c>
      <c r="B18" s="34">
        <v>1</v>
      </c>
      <c r="C18" s="34">
        <v>1</v>
      </c>
      <c r="D18" s="34">
        <v>1</v>
      </c>
      <c r="K18" s="3"/>
    </row>
    <row r="19" spans="1:21" ht="16" x14ac:dyDescent="0.2">
      <c r="A19" s="34" t="s">
        <v>69</v>
      </c>
      <c r="B19" s="34">
        <v>2.2000000000000002</v>
      </c>
      <c r="C19" s="34">
        <v>0.8</v>
      </c>
      <c r="D19" s="34">
        <v>6.3</v>
      </c>
    </row>
    <row r="20" spans="1:21" ht="16" x14ac:dyDescent="0.2">
      <c r="A20" s="34" t="s">
        <v>70</v>
      </c>
      <c r="B20" s="34">
        <v>5.5</v>
      </c>
      <c r="C20" s="34">
        <v>2</v>
      </c>
      <c r="D20" s="34">
        <v>15.2</v>
      </c>
      <c r="L20" s="45"/>
      <c r="M20" s="45"/>
    </row>
    <row r="21" spans="1:21" ht="16" x14ac:dyDescent="0.2">
      <c r="A21" s="32"/>
      <c r="B21" s="32"/>
      <c r="C21" s="32"/>
      <c r="D21" s="32"/>
      <c r="L21" s="45"/>
      <c r="M21" s="45"/>
    </row>
    <row r="22" spans="1:21" ht="16" x14ac:dyDescent="0.2">
      <c r="A22" s="32"/>
      <c r="B22" s="32"/>
      <c r="C22" s="32"/>
      <c r="D22" s="32"/>
      <c r="L22" s="45"/>
      <c r="M22" s="45"/>
    </row>
    <row r="23" spans="1:21" ht="16" x14ac:dyDescent="0.2">
      <c r="A23" s="32"/>
      <c r="B23" s="32"/>
      <c r="C23" s="32"/>
      <c r="D23" s="32"/>
    </row>
    <row r="25" spans="1:21" ht="16" x14ac:dyDescent="0.2">
      <c r="A25" s="32"/>
      <c r="B25" s="32"/>
      <c r="C25" s="32"/>
      <c r="D25" s="32"/>
      <c r="E25" s="32"/>
      <c r="K25" s="3"/>
    </row>
    <row r="26" spans="1:21" ht="16" x14ac:dyDescent="0.2">
      <c r="A26" s="36" t="s">
        <v>197</v>
      </c>
      <c r="B26" s="37"/>
      <c r="C26" s="37"/>
      <c r="D26" s="37"/>
      <c r="E26" s="37"/>
      <c r="F26" s="31"/>
      <c r="G26" s="31"/>
      <c r="H26" s="31"/>
      <c r="I26" s="31"/>
      <c r="J26" s="31"/>
      <c r="K26" s="47"/>
      <c r="L26" s="47"/>
      <c r="M26" s="47"/>
      <c r="N26" s="47"/>
      <c r="O26" s="31"/>
      <c r="P26" s="47"/>
      <c r="Q26" s="47"/>
      <c r="R26" s="31"/>
      <c r="S26" s="31"/>
      <c r="T26" s="31"/>
      <c r="U26" s="31"/>
    </row>
    <row r="27" spans="1:21" ht="16" x14ac:dyDescent="0.2">
      <c r="A27" s="38" t="s">
        <v>198</v>
      </c>
      <c r="B27" s="37"/>
      <c r="C27" s="37"/>
      <c r="D27" s="37"/>
      <c r="E27" s="37"/>
      <c r="F27" s="31"/>
      <c r="G27" s="31"/>
      <c r="H27" s="31"/>
      <c r="I27" s="31"/>
      <c r="J27" s="31"/>
      <c r="K27" s="31"/>
      <c r="L27" s="31"/>
      <c r="M27" s="31"/>
      <c r="N27" s="31"/>
      <c r="O27" s="31"/>
      <c r="P27" s="31"/>
      <c r="Q27" s="31"/>
      <c r="R27" s="31"/>
      <c r="S27" s="31"/>
      <c r="T27" s="31"/>
      <c r="U27" s="31"/>
    </row>
    <row r="28" spans="1:21" ht="16" x14ac:dyDescent="0.2">
      <c r="A28" s="42"/>
      <c r="B28" s="225" t="s">
        <v>101</v>
      </c>
      <c r="C28" s="226"/>
      <c r="D28" s="226"/>
      <c r="E28" s="227"/>
    </row>
    <row r="29" spans="1:21" ht="34" x14ac:dyDescent="0.2">
      <c r="A29" s="43"/>
      <c r="B29" s="44" t="s">
        <v>15</v>
      </c>
      <c r="C29" s="44" t="s">
        <v>102</v>
      </c>
      <c r="D29" s="44" t="s">
        <v>103</v>
      </c>
      <c r="E29" s="44" t="s">
        <v>183</v>
      </c>
    </row>
    <row r="30" spans="1:21" ht="16" x14ac:dyDescent="0.2">
      <c r="A30" s="43" t="s">
        <v>73</v>
      </c>
      <c r="B30" s="204">
        <v>2</v>
      </c>
      <c r="C30" s="204">
        <v>3</v>
      </c>
      <c r="D30" s="204">
        <v>3.2</v>
      </c>
      <c r="E30" s="43">
        <f t="array" ref="E30:E33">0.7*B30:B33+0.2*C30:C33 +0.1*D30:D33</f>
        <v>2.3200000000000003</v>
      </c>
    </row>
    <row r="31" spans="1:21" ht="16" x14ac:dyDescent="0.2">
      <c r="A31" s="43" t="s">
        <v>74</v>
      </c>
      <c r="B31" s="204">
        <v>1.8</v>
      </c>
      <c r="C31" s="204">
        <v>2.8</v>
      </c>
      <c r="D31" s="204">
        <v>3</v>
      </c>
      <c r="E31" s="43">
        <v>2.12</v>
      </c>
    </row>
    <row r="32" spans="1:21" ht="16" x14ac:dyDescent="0.2">
      <c r="A32" s="43" t="s">
        <v>104</v>
      </c>
      <c r="B32" s="204">
        <v>1.7</v>
      </c>
      <c r="C32" s="204">
        <v>2.6</v>
      </c>
      <c r="D32" s="204">
        <v>2.8</v>
      </c>
      <c r="E32" s="43">
        <v>1.99</v>
      </c>
    </row>
    <row r="33" spans="1:11" ht="16" x14ac:dyDescent="0.2">
      <c r="A33" s="43" t="s">
        <v>75</v>
      </c>
      <c r="B33" s="204">
        <v>1.5</v>
      </c>
      <c r="C33" s="204">
        <v>2.4</v>
      </c>
      <c r="D33" s="204">
        <v>2.5</v>
      </c>
      <c r="E33" s="43">
        <v>1.7799999999999998</v>
      </c>
    </row>
    <row r="34" spans="1:11" ht="16" x14ac:dyDescent="0.2">
      <c r="A34" s="32"/>
      <c r="B34" s="32"/>
      <c r="C34" s="32"/>
      <c r="D34" s="32"/>
      <c r="E34" s="32"/>
    </row>
    <row r="35" spans="1:11" ht="16" x14ac:dyDescent="0.2">
      <c r="A35" s="32"/>
      <c r="B35" s="32"/>
      <c r="C35" s="32"/>
      <c r="D35" s="32"/>
      <c r="E35" s="32"/>
    </row>
    <row r="36" spans="1:11" x14ac:dyDescent="0.2">
      <c r="K36" s="3"/>
    </row>
    <row r="42" spans="1:11" ht="16" x14ac:dyDescent="0.2">
      <c r="A42" s="32"/>
      <c r="B42" s="32"/>
      <c r="C42" s="32"/>
      <c r="D42" s="32"/>
      <c r="E42" s="32"/>
    </row>
    <row r="43" spans="1:11" ht="16" x14ac:dyDescent="0.2">
      <c r="A43" s="32"/>
      <c r="B43" s="32"/>
      <c r="C43" s="32"/>
      <c r="D43" s="32"/>
      <c r="E43" s="32"/>
    </row>
    <row r="44" spans="1:11" ht="16" x14ac:dyDescent="0.2">
      <c r="A44" s="32"/>
      <c r="B44" s="32"/>
      <c r="C44" s="32"/>
      <c r="D44" s="32"/>
      <c r="E44" s="32"/>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I53"/>
  <sheetViews>
    <sheetView tabSelected="1" topLeftCell="E3" zoomScale="80" zoomScaleNormal="80" workbookViewId="0">
      <selection activeCell="M27" sqref="M27"/>
    </sheetView>
  </sheetViews>
  <sheetFormatPr baseColWidth="10" defaultColWidth="8.83203125" defaultRowHeight="15" x14ac:dyDescent="0.2"/>
  <cols>
    <col min="1" max="1" width="20.5" customWidth="1"/>
    <col min="2" max="2" width="11.83203125" customWidth="1"/>
    <col min="3" max="3" width="10.33203125" customWidth="1"/>
    <col min="4" max="4" width="13.1640625" bestFit="1" customWidth="1"/>
    <col min="5" max="5" width="10.1640625" customWidth="1"/>
    <col min="6" max="6" width="16.6640625" bestFit="1" customWidth="1"/>
    <col min="7" max="7" width="20.1640625" customWidth="1"/>
    <col min="8" max="8" width="9.1640625" bestFit="1" customWidth="1"/>
    <col min="10" max="10" width="15.5" customWidth="1"/>
    <col min="11" max="11" width="12.1640625" customWidth="1"/>
    <col min="12" max="12" width="19.5" bestFit="1" customWidth="1"/>
    <col min="13" max="14" width="12.5" customWidth="1"/>
    <col min="15" max="15" width="12.6640625" customWidth="1"/>
    <col min="16" max="16" width="11.83203125" customWidth="1"/>
    <col min="17" max="17" width="11.1640625" customWidth="1"/>
    <col min="18" max="18" width="14.33203125" customWidth="1"/>
    <col min="19" max="19" width="17.83203125" customWidth="1"/>
    <col min="20" max="20" width="10.6640625" customWidth="1"/>
    <col min="23" max="23" width="12.83203125" customWidth="1"/>
    <col min="26" max="26" width="14" customWidth="1"/>
    <col min="27" max="27" width="14.83203125" customWidth="1"/>
    <col min="30" max="30" width="17.83203125" customWidth="1"/>
  </cols>
  <sheetData>
    <row r="1" spans="1:32" ht="16" x14ac:dyDescent="0.2">
      <c r="A1" s="37" t="s">
        <v>199</v>
      </c>
      <c r="B1" s="37"/>
      <c r="C1" s="37"/>
      <c r="D1" s="37"/>
      <c r="E1" s="37"/>
      <c r="F1" s="37"/>
      <c r="G1" s="31"/>
      <c r="H1" s="31"/>
      <c r="I1" s="31"/>
      <c r="J1" s="31"/>
      <c r="K1" s="31"/>
      <c r="L1" s="31"/>
      <c r="M1" s="31"/>
      <c r="N1" s="31"/>
      <c r="O1" s="31"/>
      <c r="P1" s="31"/>
      <c r="Q1" s="31"/>
      <c r="R1" s="31"/>
      <c r="S1" s="31"/>
      <c r="T1" s="31"/>
      <c r="U1" s="31"/>
      <c r="V1" s="31"/>
      <c r="W1" s="31"/>
      <c r="X1" s="31"/>
    </row>
    <row r="2" spans="1:32" ht="16" x14ac:dyDescent="0.2">
      <c r="A2" s="213" t="s">
        <v>355</v>
      </c>
      <c r="B2" s="37"/>
      <c r="C2" s="37"/>
      <c r="D2" s="37"/>
      <c r="E2" s="37"/>
      <c r="F2" s="37"/>
      <c r="G2" s="31"/>
      <c r="H2" s="31"/>
      <c r="I2" s="31"/>
      <c r="J2" s="31"/>
      <c r="K2" s="31"/>
      <c r="L2" s="31"/>
      <c r="M2" s="31"/>
      <c r="N2" s="31"/>
      <c r="O2" s="31"/>
      <c r="P2" s="31"/>
      <c r="Q2" s="31"/>
      <c r="R2" s="31"/>
      <c r="S2" s="31"/>
      <c r="T2" s="31"/>
      <c r="U2" s="31"/>
      <c r="V2" s="31"/>
      <c r="W2" s="31"/>
      <c r="X2" s="31"/>
    </row>
    <row r="3" spans="1:32" ht="16" x14ac:dyDescent="0.2">
      <c r="A3" s="38" t="s">
        <v>200</v>
      </c>
      <c r="B3" s="37"/>
      <c r="C3" s="37"/>
      <c r="D3" s="37"/>
      <c r="E3" s="37"/>
      <c r="F3" s="37"/>
      <c r="G3" s="31"/>
      <c r="H3" s="31"/>
      <c r="I3" s="31"/>
      <c r="J3" s="31"/>
      <c r="K3" s="31"/>
      <c r="L3" s="31"/>
      <c r="M3" s="31"/>
      <c r="N3" s="31"/>
      <c r="O3" s="31"/>
      <c r="P3" s="31"/>
      <c r="Q3" s="31"/>
      <c r="R3" s="31"/>
      <c r="S3" s="31"/>
      <c r="T3" s="31"/>
      <c r="U3" s="31"/>
      <c r="V3" s="31"/>
      <c r="W3" s="31"/>
      <c r="X3" s="31"/>
    </row>
    <row r="4" spans="1:32" ht="21.75" customHeight="1" x14ac:dyDescent="0.2">
      <c r="A4" s="224" t="s">
        <v>353</v>
      </c>
      <c r="B4" s="224"/>
      <c r="C4" s="224"/>
      <c r="D4" s="224"/>
      <c r="F4" s="229" t="s">
        <v>354</v>
      </c>
      <c r="G4" s="229"/>
      <c r="H4" s="229"/>
      <c r="I4" s="212"/>
      <c r="J4" s="212"/>
      <c r="K4" s="212"/>
      <c r="L4" s="212"/>
      <c r="N4" s="214"/>
      <c r="O4" s="215"/>
      <c r="P4" s="5"/>
      <c r="Q4" s="5"/>
      <c r="R4" s="5"/>
      <c r="S4" s="205"/>
      <c r="T4" s="205"/>
      <c r="U4" s="205"/>
      <c r="W4" s="4"/>
      <c r="AA4" s="205"/>
      <c r="AB4" s="205"/>
      <c r="AC4" s="205"/>
    </row>
    <row r="5" spans="1:32" ht="15.75" customHeight="1" x14ac:dyDescent="0.2">
      <c r="A5" s="42"/>
      <c r="B5" s="42" t="s">
        <v>184</v>
      </c>
      <c r="C5" s="42" t="s">
        <v>185</v>
      </c>
      <c r="D5" s="42" t="s">
        <v>186</v>
      </c>
      <c r="F5" s="42" t="s">
        <v>184</v>
      </c>
      <c r="G5" s="42" t="s">
        <v>185</v>
      </c>
      <c r="H5" s="42" t="s">
        <v>186</v>
      </c>
      <c r="I5" s="212"/>
      <c r="J5" s="216"/>
      <c r="K5" s="216"/>
      <c r="L5" s="216"/>
      <c r="M5" s="216"/>
      <c r="N5" s="216"/>
      <c r="O5" s="216"/>
      <c r="P5" s="216"/>
      <c r="Q5" s="5"/>
      <c r="R5" s="5"/>
      <c r="S5" s="205"/>
      <c r="T5" s="205"/>
      <c r="U5" s="205"/>
      <c r="W5" s="4"/>
      <c r="AA5" s="205"/>
      <c r="AB5" s="205"/>
      <c r="AC5" s="205"/>
    </row>
    <row r="6" spans="1:32" ht="16" x14ac:dyDescent="0.2">
      <c r="A6" s="42" t="s">
        <v>189</v>
      </c>
      <c r="B6" s="48">
        <f>F6*B$11</f>
        <v>0.20707783810724914</v>
      </c>
      <c r="C6" s="48">
        <f t="shared" ref="C6:D10" si="0">G6*C$11</f>
        <v>0.24174996650700001</v>
      </c>
      <c r="D6" s="48">
        <f t="shared" si="0"/>
        <v>0.5207380372</v>
      </c>
      <c r="E6" s="32"/>
      <c r="F6" s="43">
        <v>3.3188235289999999</v>
      </c>
      <c r="G6" s="43">
        <v>1.61</v>
      </c>
      <c r="H6" s="43">
        <v>1</v>
      </c>
      <c r="I6" s="212"/>
      <c r="J6" s="216"/>
      <c r="K6" s="216"/>
      <c r="L6" s="216"/>
      <c r="M6" s="216"/>
      <c r="N6" s="216"/>
      <c r="O6" s="216"/>
      <c r="P6" s="216"/>
      <c r="Q6" s="5"/>
      <c r="R6" s="5"/>
      <c r="S6" s="205"/>
      <c r="T6" s="205"/>
      <c r="U6" s="205"/>
      <c r="W6" s="4"/>
      <c r="AA6" s="205"/>
      <c r="AB6" s="205"/>
      <c r="AC6" s="205"/>
    </row>
    <row r="7" spans="1:32" ht="16" x14ac:dyDescent="0.2">
      <c r="A7" s="42" t="s">
        <v>190</v>
      </c>
      <c r="B7" s="48">
        <f t="shared" ref="B7:B10" si="1">F7*B$11</f>
        <v>0.25145166059000001</v>
      </c>
      <c r="C7" s="48">
        <f>G7*C$11</f>
        <v>0.29355353075849999</v>
      </c>
      <c r="D7" s="48">
        <f t="shared" si="0"/>
        <v>0.5207380372</v>
      </c>
      <c r="E7" s="32"/>
      <c r="F7" s="43">
        <v>4.03</v>
      </c>
      <c r="G7" s="43">
        <v>1.9550000000000001</v>
      </c>
      <c r="H7" s="43">
        <v>1</v>
      </c>
      <c r="I7" s="212"/>
      <c r="J7" s="216"/>
      <c r="K7" s="216"/>
      <c r="L7" s="216"/>
      <c r="M7" s="216"/>
      <c r="N7" s="216"/>
      <c r="O7" s="216"/>
      <c r="P7" s="216"/>
      <c r="Q7" s="5"/>
      <c r="R7" s="5"/>
      <c r="S7" s="205"/>
      <c r="T7" s="205"/>
      <c r="U7" s="205"/>
      <c r="W7" s="4"/>
      <c r="AA7" s="205"/>
      <c r="AB7" s="205"/>
      <c r="AC7" s="205"/>
    </row>
    <row r="8" spans="1:32" ht="16" x14ac:dyDescent="0.2">
      <c r="A8" s="42" t="s">
        <v>191</v>
      </c>
      <c r="B8" s="48">
        <f t="shared" si="1"/>
        <v>0.30523811208046198</v>
      </c>
      <c r="C8" s="48">
        <f>G8*C$11</f>
        <v>0.35634572982392626</v>
      </c>
      <c r="D8" s="48">
        <f t="shared" si="0"/>
        <v>0.5207380372</v>
      </c>
      <c r="E8" s="32"/>
      <c r="F8" s="43">
        <v>4.8920320860000004</v>
      </c>
      <c r="G8" s="43">
        <v>2.3731818179999999</v>
      </c>
      <c r="H8" s="43">
        <v>1</v>
      </c>
      <c r="I8" s="212"/>
      <c r="J8" s="216"/>
      <c r="K8" s="216"/>
      <c r="L8" s="216"/>
      <c r="M8" s="216"/>
      <c r="N8" s="216"/>
      <c r="O8" s="216"/>
      <c r="P8" s="216"/>
      <c r="Q8" s="5"/>
      <c r="R8" s="5"/>
      <c r="S8" s="205"/>
      <c r="T8" s="205"/>
      <c r="U8" s="205"/>
      <c r="W8" s="4"/>
      <c r="AA8" s="205"/>
      <c r="AB8" s="205"/>
      <c r="AC8" s="205"/>
    </row>
    <row r="9" spans="1:32" ht="16" x14ac:dyDescent="0.2">
      <c r="A9" s="42" t="s">
        <v>192</v>
      </c>
      <c r="B9" s="48">
        <f>F9*B$11</f>
        <v>0.44887957656689292</v>
      </c>
      <c r="C9" s="48">
        <f t="shared" si="0"/>
        <v>0.52403783801169279</v>
      </c>
      <c r="D9" s="48">
        <f t="shared" si="0"/>
        <v>0.5207380372</v>
      </c>
      <c r="E9" s="32"/>
      <c r="F9" s="43">
        <v>7.1941648320000002</v>
      </c>
      <c r="G9" s="43">
        <v>3.4899732619999999</v>
      </c>
      <c r="H9" s="43">
        <v>1</v>
      </c>
      <c r="I9" s="212"/>
      <c r="J9" s="216"/>
      <c r="K9" s="216"/>
      <c r="L9" s="216"/>
      <c r="M9" s="216"/>
      <c r="N9" s="216"/>
      <c r="O9" s="216"/>
      <c r="P9" s="216"/>
      <c r="Q9" s="5"/>
      <c r="R9" s="5"/>
      <c r="S9" s="205"/>
      <c r="T9" s="205"/>
      <c r="U9" s="205"/>
      <c r="W9" s="4"/>
      <c r="AA9" s="205"/>
      <c r="AB9" s="205"/>
      <c r="AC9" s="205"/>
    </row>
    <row r="10" spans="1:32" ht="16" x14ac:dyDescent="0.2">
      <c r="A10" s="42" t="s">
        <v>188</v>
      </c>
      <c r="B10" s="211">
        <f t="shared" si="1"/>
        <v>0.20707783810724914</v>
      </c>
      <c r="C10" s="211">
        <f t="shared" si="0"/>
        <v>0.24174996650700001</v>
      </c>
      <c r="D10" s="211">
        <f t="shared" si="0"/>
        <v>0.5207380372</v>
      </c>
      <c r="E10" s="32"/>
      <c r="F10" s="43">
        <v>3.3188235289999999</v>
      </c>
      <c r="G10" s="43">
        <v>1.61</v>
      </c>
      <c r="H10" s="43">
        <v>1</v>
      </c>
      <c r="I10" s="212"/>
      <c r="J10" s="216"/>
      <c r="K10" s="216"/>
      <c r="L10" s="216"/>
      <c r="M10" s="216"/>
      <c r="N10" s="216"/>
      <c r="O10" s="216"/>
      <c r="P10" s="216"/>
      <c r="Q10" s="209"/>
      <c r="R10" s="209"/>
      <c r="S10" s="206"/>
      <c r="T10" s="207"/>
      <c r="U10" s="207"/>
      <c r="AA10" s="206"/>
      <c r="AB10" s="208"/>
      <c r="AC10" s="208"/>
      <c r="AD10" s="206"/>
      <c r="AE10" s="208"/>
      <c r="AF10" s="208"/>
    </row>
    <row r="11" spans="1:32" ht="15.75" customHeight="1" x14ac:dyDescent="0.2">
      <c r="A11" s="210" t="s">
        <v>17</v>
      </c>
      <c r="B11" s="217">
        <v>6.2394953000000003E-2</v>
      </c>
      <c r="C11" s="217">
        <v>0.15015525869999999</v>
      </c>
      <c r="D11" s="217">
        <v>0.5207380372</v>
      </c>
      <c r="E11" s="32"/>
      <c r="F11" s="43">
        <v>1</v>
      </c>
      <c r="G11" s="43">
        <v>1</v>
      </c>
      <c r="H11" s="43">
        <v>1</v>
      </c>
      <c r="J11" s="216"/>
      <c r="K11" s="216"/>
      <c r="L11" s="216"/>
      <c r="M11" s="216"/>
      <c r="N11" s="216"/>
      <c r="O11" s="216"/>
      <c r="P11" s="216"/>
      <c r="S11" s="205"/>
      <c r="T11" s="205"/>
      <c r="W11" s="4"/>
      <c r="AA11" s="205"/>
      <c r="AB11" s="205"/>
      <c r="AC11" s="205"/>
    </row>
    <row r="12" spans="1:32" ht="16" x14ac:dyDescent="0.2">
      <c r="N12" s="214"/>
      <c r="O12" s="32"/>
      <c r="S12" s="205"/>
      <c r="W12" s="4"/>
      <c r="AA12" s="205"/>
      <c r="AB12" s="205"/>
      <c r="AC12" s="205"/>
    </row>
    <row r="13" spans="1:32" ht="16" x14ac:dyDescent="0.2">
      <c r="N13" s="214"/>
      <c r="O13" s="32"/>
      <c r="S13" s="205"/>
      <c r="W13" s="4"/>
      <c r="AA13" s="205"/>
      <c r="AB13" s="205"/>
      <c r="AC13" s="205"/>
    </row>
    <row r="14" spans="1:32" ht="16" x14ac:dyDescent="0.2">
      <c r="N14" s="214"/>
      <c r="O14" s="32"/>
      <c r="Q14" s="267"/>
      <c r="R14" s="267"/>
      <c r="S14" s="268"/>
      <c r="T14" s="267"/>
      <c r="U14" s="267"/>
      <c r="V14" s="267"/>
      <c r="W14" s="269"/>
      <c r="X14" s="267"/>
      <c r="Y14" s="267"/>
      <c r="Z14" s="267"/>
      <c r="AA14" s="268"/>
      <c r="AB14" s="205"/>
      <c r="AC14" s="205"/>
    </row>
    <row r="15" spans="1:32" ht="16" x14ac:dyDescent="0.2">
      <c r="N15" s="214"/>
      <c r="O15" s="32"/>
      <c r="Q15" s="267"/>
      <c r="R15" s="267"/>
      <c r="S15" s="268"/>
      <c r="T15" s="267"/>
      <c r="U15" s="267"/>
      <c r="V15" s="267"/>
      <c r="W15" s="269"/>
      <c r="X15" s="267"/>
      <c r="Y15" s="267"/>
      <c r="Z15" s="267"/>
      <c r="AA15" s="268"/>
      <c r="AB15" s="205"/>
      <c r="AC15" s="205"/>
    </row>
    <row r="16" spans="1:32" ht="16" x14ac:dyDescent="0.2">
      <c r="N16" s="214"/>
      <c r="O16" s="32"/>
      <c r="Q16" s="267"/>
      <c r="R16" s="267"/>
      <c r="S16" s="267"/>
      <c r="T16" s="267"/>
      <c r="U16" s="267"/>
      <c r="V16" s="267"/>
      <c r="W16" s="269"/>
      <c r="X16" s="267"/>
      <c r="Y16" s="267"/>
      <c r="Z16" s="267"/>
      <c r="AA16" s="268"/>
      <c r="AB16" s="205"/>
      <c r="AC16" s="205"/>
    </row>
    <row r="17" spans="1:35" ht="16" x14ac:dyDescent="0.2">
      <c r="A17" s="36" t="s">
        <v>201</v>
      </c>
      <c r="B17" s="37"/>
      <c r="C17" s="37"/>
      <c r="D17" s="37"/>
      <c r="E17" s="37"/>
      <c r="F17" s="37"/>
      <c r="G17" s="265" t="s">
        <v>360</v>
      </c>
      <c r="H17" s="31"/>
      <c r="I17" s="31"/>
      <c r="J17" s="31"/>
      <c r="K17" s="31"/>
      <c r="L17" s="31"/>
      <c r="M17" s="31"/>
      <c r="N17" s="31"/>
      <c r="O17" s="31"/>
      <c r="P17" s="31"/>
      <c r="Q17" s="265" t="s">
        <v>368</v>
      </c>
      <c r="R17" s="270"/>
      <c r="S17" s="270"/>
      <c r="T17" s="270"/>
      <c r="U17" s="270"/>
      <c r="V17" s="270"/>
      <c r="W17" s="270"/>
      <c r="X17" s="265" t="s">
        <v>369</v>
      </c>
      <c r="Y17" s="270"/>
      <c r="Z17" s="270"/>
      <c r="AA17" s="270"/>
      <c r="AB17" s="31"/>
      <c r="AC17" s="31"/>
      <c r="AD17" s="31"/>
      <c r="AE17" s="31"/>
      <c r="AF17" s="31"/>
      <c r="AG17" s="31"/>
      <c r="AH17" s="31"/>
      <c r="AI17" s="31"/>
    </row>
    <row r="18" spans="1:35" ht="16" x14ac:dyDescent="0.2">
      <c r="A18" s="38" t="s">
        <v>9</v>
      </c>
      <c r="B18" s="37"/>
      <c r="C18" s="37"/>
      <c r="D18" s="37"/>
      <c r="E18" s="37"/>
      <c r="F18" s="37"/>
      <c r="G18" s="266" t="s">
        <v>9</v>
      </c>
      <c r="H18" s="31"/>
      <c r="I18" s="31"/>
      <c r="J18" s="31"/>
      <c r="K18" s="31"/>
      <c r="L18" s="31"/>
      <c r="M18" s="31"/>
      <c r="N18" s="31"/>
      <c r="O18" s="31"/>
      <c r="P18" s="31"/>
      <c r="Q18" s="266" t="s">
        <v>9</v>
      </c>
      <c r="R18" s="270"/>
      <c r="S18" s="270"/>
      <c r="T18" s="270"/>
      <c r="U18" s="270"/>
      <c r="V18" s="270"/>
      <c r="W18" s="270"/>
      <c r="X18" s="266" t="s">
        <v>370</v>
      </c>
      <c r="Y18" s="270"/>
      <c r="Z18" s="270"/>
      <c r="AA18" s="270"/>
      <c r="AB18" s="31"/>
      <c r="AC18" s="31"/>
      <c r="AD18" s="31"/>
      <c r="AE18" s="31"/>
      <c r="AF18" s="31"/>
      <c r="AG18" s="31"/>
      <c r="AH18" s="31"/>
      <c r="AI18" s="31"/>
    </row>
    <row r="19" spans="1:35" ht="16" x14ac:dyDescent="0.2">
      <c r="A19" s="42" t="s">
        <v>7</v>
      </c>
      <c r="B19" s="42" t="s">
        <v>8</v>
      </c>
      <c r="C19" s="50" t="s">
        <v>10</v>
      </c>
      <c r="D19" s="50" t="s">
        <v>13</v>
      </c>
      <c r="E19" s="50" t="s">
        <v>14</v>
      </c>
      <c r="F19" s="32"/>
      <c r="G19" s="224" t="s">
        <v>353</v>
      </c>
      <c r="H19" s="224"/>
      <c r="I19" s="224"/>
      <c r="J19" s="224"/>
      <c r="L19" s="224" t="s">
        <v>359</v>
      </c>
      <c r="M19" s="224"/>
      <c r="N19" s="224"/>
      <c r="O19" s="224"/>
      <c r="Q19" s="271" t="s">
        <v>365</v>
      </c>
      <c r="R19" s="267"/>
      <c r="S19" s="267"/>
      <c r="T19" s="267"/>
      <c r="U19" s="267"/>
      <c r="V19" s="267"/>
      <c r="W19" s="267"/>
      <c r="X19" s="271" t="s">
        <v>365</v>
      </c>
      <c r="Y19" s="267"/>
      <c r="Z19" s="267"/>
      <c r="AA19" s="267"/>
    </row>
    <row r="20" spans="1:35" ht="16" x14ac:dyDescent="0.2">
      <c r="A20" s="49">
        <v>1</v>
      </c>
      <c r="B20" s="43">
        <f>1</f>
        <v>1</v>
      </c>
      <c r="C20" s="43">
        <v>1.6000000000000001E-3</v>
      </c>
      <c r="D20" s="43">
        <v>9.4999999999999998E-3</v>
      </c>
      <c r="E20" s="43">
        <v>2.93E-2</v>
      </c>
      <c r="F20" s="32"/>
      <c r="G20" s="42"/>
      <c r="H20" s="42" t="s">
        <v>184</v>
      </c>
      <c r="I20" s="42" t="s">
        <v>185</v>
      </c>
      <c r="J20" s="42" t="s">
        <v>186</v>
      </c>
      <c r="L20" s="42"/>
      <c r="M20" s="42" t="s">
        <v>184</v>
      </c>
      <c r="N20" s="42" t="s">
        <v>185</v>
      </c>
      <c r="O20" s="42" t="s">
        <v>186</v>
      </c>
      <c r="Q20" s="272" t="s">
        <v>7</v>
      </c>
      <c r="R20" s="272" t="s">
        <v>7</v>
      </c>
      <c r="S20" s="272" t="s">
        <v>10</v>
      </c>
      <c r="T20" s="272" t="s">
        <v>13</v>
      </c>
      <c r="U20" s="272" t="s">
        <v>14</v>
      </c>
      <c r="V20" s="267"/>
      <c r="W20" s="267"/>
      <c r="X20" s="272" t="s">
        <v>10</v>
      </c>
      <c r="Y20" s="272" t="s">
        <v>13</v>
      </c>
      <c r="Z20" s="272" t="s">
        <v>14</v>
      </c>
      <c r="AA20" s="267"/>
    </row>
    <row r="21" spans="1:35" ht="16" x14ac:dyDescent="0.2">
      <c r="A21" s="49" t="s">
        <v>11</v>
      </c>
      <c r="B21" s="43">
        <f>3-2</f>
        <v>1</v>
      </c>
      <c r="C21" s="43">
        <v>1.4E-3</v>
      </c>
      <c r="D21" s="43">
        <v>7.7999999999999996E-3</v>
      </c>
      <c r="E21" s="43">
        <v>1.95E-2</v>
      </c>
      <c r="F21" s="32"/>
      <c r="G21" s="42" t="s">
        <v>189</v>
      </c>
      <c r="H21" s="146">
        <f>F6*H$26</f>
        <v>0.32976232161791008</v>
      </c>
      <c r="I21" s="146">
        <f t="shared" ref="I21:I24" si="2">G6*I$26</f>
        <v>0.36041313490000004</v>
      </c>
      <c r="J21" s="146">
        <f t="shared" ref="J21:J24" si="3">H6*J$26</f>
        <v>0.59454636000000005</v>
      </c>
      <c r="L21" s="42" t="s">
        <v>189</v>
      </c>
      <c r="M21" s="146">
        <f t="shared" ref="M21:M24" si="4">F6*M$26</f>
        <v>0.22959689822505561</v>
      </c>
      <c r="N21" s="146">
        <f t="shared" ref="N21:N24" si="5">G6*N$26</f>
        <v>0.30050905233300407</v>
      </c>
      <c r="O21" s="146">
        <f t="shared" ref="O21:O24" si="6">H6*O$26</f>
        <v>0.57440385297994445</v>
      </c>
      <c r="Q21" s="272" t="s">
        <v>361</v>
      </c>
      <c r="R21" s="272">
        <v>1</v>
      </c>
      <c r="S21" s="272">
        <v>9.2759999999999995E-3</v>
      </c>
      <c r="T21" s="272">
        <v>2.0448999999999998E-2</v>
      </c>
      <c r="U21" s="272">
        <v>6.4418000000000003E-2</v>
      </c>
      <c r="V21" s="267"/>
      <c r="W21" s="267"/>
      <c r="X21" s="272">
        <v>8.6829999999999997E-3</v>
      </c>
      <c r="Y21" s="272">
        <v>2.0896999999999999E-2</v>
      </c>
      <c r="Z21" s="272">
        <v>7.2469000000000006E-2</v>
      </c>
      <c r="AA21" s="267"/>
    </row>
    <row r="22" spans="1:35" ht="16" x14ac:dyDescent="0.2">
      <c r="A22" s="49" t="s">
        <v>12</v>
      </c>
      <c r="B22" s="43">
        <f>20-4</f>
        <v>16</v>
      </c>
      <c r="C22" s="43">
        <v>8.9999999999999998E-4</v>
      </c>
      <c r="D22" s="43">
        <v>3.5999999999999999E-3</v>
      </c>
      <c r="E22" s="43">
        <v>7.6E-3</v>
      </c>
      <c r="F22" s="32"/>
      <c r="G22" s="42" t="s">
        <v>190</v>
      </c>
      <c r="H22" s="146">
        <f>F7*H$26</f>
        <v>0.40042567630000003</v>
      </c>
      <c r="I22" s="146">
        <f t="shared" si="2"/>
        <v>0.43764452095000006</v>
      </c>
      <c r="J22" s="146">
        <f t="shared" si="3"/>
        <v>0.59454636000000005</v>
      </c>
      <c r="L22" s="42" t="s">
        <v>190</v>
      </c>
      <c r="M22" s="146">
        <f t="shared" si="4"/>
        <v>0.27879623359358624</v>
      </c>
      <c r="N22" s="146">
        <f t="shared" si="5"/>
        <v>0.36490384926150499</v>
      </c>
      <c r="O22" s="146">
        <f t="shared" si="6"/>
        <v>0.57440385297994445</v>
      </c>
      <c r="Q22" s="273" t="s">
        <v>362</v>
      </c>
      <c r="R22" s="272">
        <v>1</v>
      </c>
      <c r="S22" s="272">
        <v>1.1941999999999999E-2</v>
      </c>
      <c r="T22" s="272">
        <v>2.6714999999999999E-2</v>
      </c>
      <c r="U22" s="272">
        <v>8.5629999999999998E-2</v>
      </c>
      <c r="V22" s="267"/>
      <c r="W22" s="267"/>
      <c r="X22" s="267"/>
      <c r="Y22" s="267"/>
      <c r="Z22" s="267"/>
      <c r="AA22" s="267"/>
    </row>
    <row r="23" spans="1:35" ht="16" x14ac:dyDescent="0.2">
      <c r="A23" s="49" t="s">
        <v>12</v>
      </c>
      <c r="B23" s="43">
        <f t="shared" ref="B23:B28" si="7">20-4</f>
        <v>16</v>
      </c>
      <c r="C23" s="43">
        <v>8.9999999999999998E-4</v>
      </c>
      <c r="D23" s="43">
        <v>3.5999999999999999E-3</v>
      </c>
      <c r="E23" s="43">
        <v>7.6E-3</v>
      </c>
      <c r="F23" s="32"/>
      <c r="G23" s="42" t="s">
        <v>191</v>
      </c>
      <c r="H23" s="146">
        <f>F8*H$26</f>
        <v>0.48607822742378415</v>
      </c>
      <c r="I23" s="146">
        <f t="shared" si="2"/>
        <v>0.53125832218202562</v>
      </c>
      <c r="J23" s="146">
        <f t="shared" si="3"/>
        <v>0.59454636000000005</v>
      </c>
      <c r="L23" s="42" t="s">
        <v>191</v>
      </c>
      <c r="M23" s="146">
        <f t="shared" si="4"/>
        <v>0.33843179161185483</v>
      </c>
      <c r="N23" s="146">
        <f t="shared" si="5"/>
        <v>0.44295814853484206</v>
      </c>
      <c r="O23" s="146">
        <f t="shared" si="6"/>
        <v>0.57440385297994445</v>
      </c>
      <c r="Q23" s="273" t="s">
        <v>363</v>
      </c>
      <c r="R23" s="272">
        <v>8</v>
      </c>
      <c r="S23" s="272">
        <v>4.8320000000000004E-3</v>
      </c>
      <c r="T23" s="272">
        <v>1.5525000000000001E-2</v>
      </c>
      <c r="U23" s="272">
        <v>6.7360000000000003E-2</v>
      </c>
      <c r="V23" s="267"/>
      <c r="W23" s="267"/>
      <c r="X23" s="271" t="s">
        <v>364</v>
      </c>
      <c r="Y23" s="267"/>
      <c r="Z23" s="267"/>
      <c r="AA23" s="267"/>
    </row>
    <row r="24" spans="1:35" ht="16" x14ac:dyDescent="0.2">
      <c r="A24" s="49" t="s">
        <v>12</v>
      </c>
      <c r="B24" s="43">
        <f t="shared" si="7"/>
        <v>16</v>
      </c>
      <c r="C24" s="43">
        <v>8.9999999999999998E-4</v>
      </c>
      <c r="D24" s="43">
        <v>3.5999999999999999E-3</v>
      </c>
      <c r="E24" s="43">
        <v>7.6E-3</v>
      </c>
      <c r="F24" s="32"/>
      <c r="G24" s="42" t="s">
        <v>192</v>
      </c>
      <c r="H24" s="146">
        <f>F9*H$26</f>
        <v>0.71482092264696673</v>
      </c>
      <c r="I24" s="146">
        <f t="shared" si="2"/>
        <v>0.78126223855565158</v>
      </c>
      <c r="J24" s="146">
        <f t="shared" si="3"/>
        <v>0.59454636000000005</v>
      </c>
      <c r="L24" s="42" t="s">
        <v>192</v>
      </c>
      <c r="M24" s="146">
        <f>F9*M$26</f>
        <v>0.49769381116948758</v>
      </c>
      <c r="N24" s="146">
        <f t="shared" si="5"/>
        <v>0.65140904200692107</v>
      </c>
      <c r="O24" s="146">
        <f t="shared" si="6"/>
        <v>0.57440385297994445</v>
      </c>
      <c r="Q24" s="271" t="s">
        <v>364</v>
      </c>
      <c r="R24" s="267"/>
      <c r="S24" s="267"/>
      <c r="T24" s="267"/>
      <c r="U24" s="267"/>
      <c r="V24" s="267"/>
      <c r="W24" s="267"/>
      <c r="X24" s="272" t="s">
        <v>10</v>
      </c>
      <c r="Y24" s="272" t="s">
        <v>13</v>
      </c>
      <c r="Z24" s="272" t="s">
        <v>14</v>
      </c>
      <c r="AA24" s="267"/>
    </row>
    <row r="25" spans="1:35" ht="16" x14ac:dyDescent="0.2">
      <c r="A25" s="49" t="s">
        <v>12</v>
      </c>
      <c r="B25" s="43">
        <f t="shared" si="7"/>
        <v>16</v>
      </c>
      <c r="C25" s="43">
        <v>8.9999999999999998E-4</v>
      </c>
      <c r="D25" s="43">
        <v>3.5999999999999999E-3</v>
      </c>
      <c r="E25" s="43">
        <v>7.6E-3</v>
      </c>
      <c r="F25" s="32"/>
      <c r="G25" s="42" t="s">
        <v>188</v>
      </c>
      <c r="H25" s="146">
        <f>F10*H$26</f>
        <v>0.32976232161791008</v>
      </c>
      <c r="I25" s="146">
        <f>G10*I$26</f>
        <v>0.36041313490000004</v>
      </c>
      <c r="J25" s="146">
        <f>H10*J$26</f>
        <v>0.59454636000000005</v>
      </c>
      <c r="L25" s="42" t="s">
        <v>188</v>
      </c>
      <c r="M25" s="146">
        <f>F10*M$26</f>
        <v>0.22959689822505561</v>
      </c>
      <c r="N25" s="146">
        <f>G10*N$26</f>
        <v>0.30050905233300407</v>
      </c>
      <c r="O25" s="146">
        <f>H10*O$26</f>
        <v>0.57440385297994445</v>
      </c>
      <c r="Q25" s="272" t="s">
        <v>7</v>
      </c>
      <c r="R25" s="272" t="s">
        <v>7</v>
      </c>
      <c r="S25" s="272" t="s">
        <v>10</v>
      </c>
      <c r="T25" s="272" t="s">
        <v>13</v>
      </c>
      <c r="U25" s="272" t="s">
        <v>14</v>
      </c>
      <c r="V25" s="267"/>
      <c r="W25" s="267"/>
      <c r="X25" s="272">
        <f>1-(1-X21)^12</f>
        <v>9.93612117574183E-2</v>
      </c>
      <c r="Y25" s="272">
        <f t="shared" ref="Y25:Z25" si="8">1-(1-Y21)^12</f>
        <v>0.2238590906433372</v>
      </c>
      <c r="Z25" s="272">
        <f t="shared" si="8"/>
        <v>0.59454636104980163</v>
      </c>
      <c r="AA25" s="267"/>
    </row>
    <row r="26" spans="1:35" ht="16" x14ac:dyDescent="0.2">
      <c r="A26" s="49" t="s">
        <v>12</v>
      </c>
      <c r="B26" s="43">
        <f t="shared" si="7"/>
        <v>16</v>
      </c>
      <c r="C26" s="43">
        <v>8.9999999999999998E-4</v>
      </c>
      <c r="D26" s="43">
        <v>3.5999999999999999E-3</v>
      </c>
      <c r="E26" s="43">
        <v>7.6E-3</v>
      </c>
      <c r="F26" s="32"/>
      <c r="G26" s="42" t="s">
        <v>17</v>
      </c>
      <c r="H26" s="146">
        <v>9.9361210000000005E-2</v>
      </c>
      <c r="I26" s="146">
        <v>0.22385909000000001</v>
      </c>
      <c r="J26" s="146">
        <v>0.59454636000000005</v>
      </c>
      <c r="L26" s="42" t="s">
        <v>17</v>
      </c>
      <c r="M26" s="146">
        <f>S31</f>
        <v>6.9180206847043721E-2</v>
      </c>
      <c r="N26" s="146">
        <f>T31</f>
        <v>0.18665158530000253</v>
      </c>
      <c r="O26" s="146">
        <f>U31</f>
        <v>0.57440385297994445</v>
      </c>
      <c r="Q26" s="272" t="s">
        <v>361</v>
      </c>
      <c r="R26" s="272">
        <v>1</v>
      </c>
      <c r="S26" s="272">
        <f>1-(1-S21)^12</f>
        <v>0.10580506547999668</v>
      </c>
      <c r="T26" s="272">
        <f t="shared" ref="T26:U26" si="9">1-(1-T21)^12</f>
        <v>0.21958676167144597</v>
      </c>
      <c r="U26" s="272">
        <f t="shared" si="9"/>
        <v>0.55023848410590626</v>
      </c>
      <c r="V26" s="267"/>
      <c r="W26" s="267"/>
      <c r="X26" s="267"/>
      <c r="Y26" s="267"/>
      <c r="Z26" s="267"/>
      <c r="AA26" s="267"/>
    </row>
    <row r="27" spans="1:35" ht="16" x14ac:dyDescent="0.2">
      <c r="A27" s="49" t="s">
        <v>12</v>
      </c>
      <c r="B27" s="43">
        <f t="shared" si="7"/>
        <v>16</v>
      </c>
      <c r="C27" s="43">
        <v>8.9999999999999998E-4</v>
      </c>
      <c r="D27" s="43">
        <v>3.5999999999999999E-3</v>
      </c>
      <c r="E27" s="43">
        <v>7.6E-3</v>
      </c>
      <c r="F27" s="32"/>
      <c r="Q27" s="273" t="s">
        <v>362</v>
      </c>
      <c r="R27" s="272">
        <v>1</v>
      </c>
      <c r="S27" s="272">
        <f t="shared" ref="S27:U28" si="10">1-(1-S22)^12</f>
        <v>0.13425644665073821</v>
      </c>
      <c r="T27" s="272">
        <f t="shared" si="10"/>
        <v>0.27742927452936772</v>
      </c>
      <c r="U27" s="272">
        <f t="shared" si="10"/>
        <v>0.6584426591440915</v>
      </c>
      <c r="V27" s="267"/>
      <c r="W27" s="267"/>
      <c r="X27" s="267"/>
      <c r="Y27" s="267"/>
      <c r="Z27" s="267"/>
      <c r="AA27" s="267"/>
    </row>
    <row r="28" spans="1:35" ht="16" x14ac:dyDescent="0.2">
      <c r="A28" s="49" t="s">
        <v>12</v>
      </c>
      <c r="B28" s="43">
        <f t="shared" si="7"/>
        <v>16</v>
      </c>
      <c r="C28" s="43">
        <v>8.9999999999999998E-4</v>
      </c>
      <c r="D28" s="43">
        <v>3.5999999999999999E-3</v>
      </c>
      <c r="E28" s="43">
        <v>7.6E-3</v>
      </c>
      <c r="F28" s="32"/>
      <c r="G28" s="264" t="s">
        <v>367</v>
      </c>
      <c r="H28" s="264"/>
      <c r="I28" s="264"/>
      <c r="J28" s="264"/>
      <c r="K28" s="264"/>
      <c r="L28" s="264"/>
      <c r="M28" s="264"/>
      <c r="N28" s="264"/>
      <c r="O28" s="264"/>
      <c r="Q28" s="273" t="s">
        <v>363</v>
      </c>
      <c r="R28" s="272">
        <v>8</v>
      </c>
      <c r="S28" s="272">
        <f t="shared" si="10"/>
        <v>5.6467569542462792E-2</v>
      </c>
      <c r="T28" s="272">
        <f>1-(1-T23)^12</f>
        <v>0.17118747709990145</v>
      </c>
      <c r="U28" s="272">
        <f t="shared" si="10"/>
        <v>0.56691967331868076</v>
      </c>
      <c r="V28" s="267"/>
      <c r="W28" s="267"/>
      <c r="X28" s="267"/>
      <c r="Y28" s="267"/>
      <c r="Z28" s="267"/>
      <c r="AA28" s="267"/>
    </row>
    <row r="29" spans="1:35" ht="16" x14ac:dyDescent="0.2">
      <c r="A29" s="50" t="s">
        <v>114</v>
      </c>
      <c r="B29" s="42"/>
      <c r="C29" s="42">
        <f>AVERAGE(C20:C22)</f>
        <v>1.2999999999999999E-3</v>
      </c>
      <c r="D29" s="42">
        <f>AVERAGE(D20:D22)</f>
        <v>6.9666666666666661E-3</v>
      </c>
      <c r="E29" s="42">
        <f>AVERAGE(E20:E22)</f>
        <v>1.8800000000000001E-2</v>
      </c>
      <c r="F29" s="32"/>
      <c r="G29" s="264"/>
      <c r="H29" s="264"/>
      <c r="I29" s="264"/>
      <c r="J29" s="264"/>
      <c r="K29" s="264"/>
      <c r="L29" s="264"/>
      <c r="M29" s="264"/>
      <c r="N29" s="264"/>
      <c r="O29" s="264"/>
      <c r="Q29" s="271" t="s">
        <v>366</v>
      </c>
      <c r="R29" s="267"/>
      <c r="S29" s="267"/>
      <c r="T29" s="267"/>
      <c r="U29" s="267"/>
      <c r="V29" s="267"/>
      <c r="W29" s="267"/>
      <c r="X29" s="267"/>
      <c r="Y29" s="267"/>
      <c r="Z29" s="267"/>
      <c r="AA29" s="267"/>
    </row>
    <row r="30" spans="1:35" ht="16" x14ac:dyDescent="0.2">
      <c r="A30" s="32"/>
      <c r="B30" s="32"/>
      <c r="C30" s="32"/>
      <c r="D30" s="32"/>
      <c r="E30" s="32"/>
      <c r="F30" s="32"/>
      <c r="G30" s="264"/>
      <c r="H30" s="264"/>
      <c r="I30" s="264"/>
      <c r="J30" s="264"/>
      <c r="K30" s="264"/>
      <c r="L30" s="264"/>
      <c r="M30" s="264"/>
      <c r="N30" s="264"/>
      <c r="O30" s="264"/>
      <c r="Q30" s="267"/>
      <c r="R30" s="267"/>
      <c r="S30" s="272" t="s">
        <v>10</v>
      </c>
      <c r="T30" s="272" t="s">
        <v>13</v>
      </c>
      <c r="U30" s="272" t="s">
        <v>14</v>
      </c>
      <c r="V30" s="267"/>
      <c r="W30" s="267"/>
      <c r="X30" s="267"/>
      <c r="Y30" s="267"/>
      <c r="Z30" s="267"/>
      <c r="AA30" s="267"/>
    </row>
    <row r="31" spans="1:35" ht="16" x14ac:dyDescent="0.2">
      <c r="A31" s="32"/>
      <c r="B31" s="32"/>
      <c r="C31" s="32"/>
      <c r="D31" s="32"/>
      <c r="E31" s="32"/>
      <c r="F31" s="32"/>
      <c r="G31" s="264"/>
      <c r="H31" s="264"/>
      <c r="I31" s="264"/>
      <c r="J31" s="264"/>
      <c r="K31" s="264"/>
      <c r="L31" s="264"/>
      <c r="M31" s="264"/>
      <c r="N31" s="264"/>
      <c r="O31" s="264"/>
      <c r="Q31" s="267"/>
      <c r="R31" s="267"/>
      <c r="S31" s="272">
        <f>((S26*$R$26)+(S27*$R$27)+(S28*$R$28))/10</f>
        <v>6.9180206847043721E-2</v>
      </c>
      <c r="T31" s="272">
        <f>((T26*$R$26)+(T27*$R$27)+(T28*$R$28))/10</f>
        <v>0.18665158530000253</v>
      </c>
      <c r="U31" s="272">
        <f>((U26*$R$26)+(U27*$R$27)+(U28*$R$28))/10</f>
        <v>0.57440385297994445</v>
      </c>
      <c r="V31" s="267"/>
      <c r="W31" s="267"/>
      <c r="X31" s="267"/>
      <c r="Y31" s="267"/>
      <c r="Z31" s="267"/>
      <c r="AA31" s="267"/>
    </row>
    <row r="32" spans="1:35" ht="16" x14ac:dyDescent="0.2">
      <c r="A32" s="32"/>
      <c r="B32" s="32"/>
      <c r="C32" s="32"/>
      <c r="D32" s="32"/>
      <c r="E32" s="32"/>
      <c r="F32" s="32"/>
      <c r="Q32" s="267"/>
      <c r="R32" s="267"/>
      <c r="S32" s="267"/>
      <c r="T32" s="267"/>
      <c r="U32" s="267"/>
      <c r="V32" s="267"/>
      <c r="W32" s="267"/>
      <c r="X32" s="267"/>
      <c r="Y32" s="267"/>
      <c r="Z32" s="267"/>
      <c r="AA32" s="267"/>
    </row>
    <row r="33" spans="1:27" ht="16" x14ac:dyDescent="0.2">
      <c r="A33" s="32"/>
      <c r="B33" s="32"/>
      <c r="C33" s="32"/>
      <c r="D33" s="32"/>
      <c r="E33" s="32"/>
      <c r="F33" s="32"/>
      <c r="Q33" s="267"/>
      <c r="R33" s="267"/>
      <c r="S33" s="267"/>
      <c r="T33" s="267"/>
      <c r="U33" s="267"/>
      <c r="V33" s="267"/>
      <c r="W33" s="267"/>
      <c r="X33" s="267"/>
      <c r="Y33" s="267"/>
      <c r="Z33" s="267"/>
      <c r="AA33" s="267"/>
    </row>
    <row r="34" spans="1:27" ht="16" x14ac:dyDescent="0.2">
      <c r="A34" s="32"/>
      <c r="B34" s="32"/>
      <c r="C34" s="32"/>
      <c r="D34" s="32"/>
      <c r="E34" s="32"/>
      <c r="F34" s="32"/>
    </row>
    <row r="35" spans="1:27" ht="16" x14ac:dyDescent="0.2">
      <c r="A35" s="37" t="s">
        <v>202</v>
      </c>
      <c r="B35" s="37"/>
      <c r="C35" s="37"/>
      <c r="D35" s="37"/>
      <c r="E35" s="37"/>
      <c r="F35" s="37"/>
      <c r="G35" s="37"/>
      <c r="H35" s="37"/>
      <c r="I35" s="37"/>
      <c r="J35" s="37"/>
      <c r="K35" s="31"/>
      <c r="L35" s="31"/>
      <c r="M35" s="31"/>
      <c r="N35" s="31"/>
      <c r="O35" s="31"/>
      <c r="P35" s="31"/>
      <c r="Q35" s="31"/>
      <c r="R35" s="31"/>
      <c r="S35" s="31"/>
      <c r="T35" s="31"/>
      <c r="U35" s="31"/>
      <c r="V35" s="31"/>
      <c r="W35" s="31"/>
      <c r="X35" s="31"/>
    </row>
    <row r="36" spans="1:27" ht="16" x14ac:dyDescent="0.2">
      <c r="A36" s="38" t="s">
        <v>200</v>
      </c>
      <c r="B36" s="37"/>
      <c r="C36" s="37"/>
      <c r="D36" s="37"/>
      <c r="E36" s="37"/>
      <c r="F36" s="37"/>
      <c r="G36" s="37"/>
      <c r="H36" s="37"/>
      <c r="I36" s="37"/>
      <c r="J36" s="37"/>
      <c r="K36" s="31"/>
      <c r="L36" s="31"/>
      <c r="M36" s="31"/>
      <c r="N36" s="31"/>
      <c r="O36" s="31"/>
      <c r="P36" s="31"/>
      <c r="Q36" s="31"/>
      <c r="R36" s="31"/>
      <c r="S36" s="31"/>
      <c r="T36" s="31"/>
      <c r="U36" s="31"/>
      <c r="V36" s="31"/>
      <c r="W36" s="31"/>
      <c r="X36" s="31"/>
    </row>
    <row r="37" spans="1:27" ht="16" x14ac:dyDescent="0.2">
      <c r="A37" s="38" t="s">
        <v>35</v>
      </c>
      <c r="B37" s="37"/>
      <c r="C37" s="37"/>
      <c r="D37" s="37"/>
      <c r="E37" s="37"/>
      <c r="F37" s="37"/>
      <c r="G37" s="37"/>
      <c r="H37" s="37"/>
      <c r="I37" s="37"/>
      <c r="J37" s="37"/>
      <c r="K37" s="31"/>
      <c r="L37" s="31"/>
      <c r="M37" s="31"/>
      <c r="N37" s="31"/>
      <c r="O37" s="31"/>
      <c r="P37" s="31"/>
      <c r="Q37" s="31"/>
      <c r="R37" s="31"/>
      <c r="S37" s="31"/>
      <c r="T37" s="31"/>
      <c r="U37" s="31"/>
      <c r="V37" s="31"/>
      <c r="W37" s="31"/>
      <c r="X37" s="31"/>
    </row>
    <row r="38" spans="1:27" ht="16" x14ac:dyDescent="0.2">
      <c r="A38" s="43"/>
      <c r="B38" s="224" t="s">
        <v>27</v>
      </c>
      <c r="C38" s="224"/>
      <c r="D38" s="224"/>
      <c r="E38" s="32"/>
      <c r="F38" s="32"/>
      <c r="G38" s="32" t="s">
        <v>29</v>
      </c>
      <c r="H38" s="32"/>
      <c r="I38" s="32"/>
      <c r="J38" s="32"/>
    </row>
    <row r="39" spans="1:27" ht="16" x14ac:dyDescent="0.2">
      <c r="A39" s="42" t="s">
        <v>21</v>
      </c>
      <c r="B39" s="42" t="s">
        <v>26</v>
      </c>
      <c r="C39" s="42" t="s">
        <v>2</v>
      </c>
      <c r="D39" s="42" t="s">
        <v>1</v>
      </c>
      <c r="E39" s="32"/>
      <c r="F39" s="32"/>
      <c r="G39" s="33" t="s">
        <v>33</v>
      </c>
      <c r="H39" s="33" t="s">
        <v>32</v>
      </c>
      <c r="I39" s="32"/>
      <c r="J39" s="32"/>
    </row>
    <row r="40" spans="1:27" ht="16" x14ac:dyDescent="0.2">
      <c r="A40" s="43" t="s">
        <v>22</v>
      </c>
      <c r="B40" s="43">
        <v>4.03</v>
      </c>
      <c r="C40" s="43">
        <v>1.46</v>
      </c>
      <c r="D40" s="43">
        <v>11.1</v>
      </c>
      <c r="E40" s="32"/>
      <c r="F40" s="32"/>
      <c r="G40" s="34" t="s">
        <v>30</v>
      </c>
      <c r="H40" s="34">
        <v>21.7</v>
      </c>
      <c r="I40" s="32"/>
      <c r="J40" s="32"/>
    </row>
    <row r="41" spans="1:27" ht="16" x14ac:dyDescent="0.2">
      <c r="A41" s="43" t="s">
        <v>23</v>
      </c>
      <c r="B41" s="43">
        <v>2.44</v>
      </c>
      <c r="C41" s="43">
        <v>1.3</v>
      </c>
      <c r="D41" s="43">
        <v>4.55</v>
      </c>
      <c r="E41" s="32"/>
      <c r="F41" s="32"/>
      <c r="G41" s="34" t="s">
        <v>31</v>
      </c>
      <c r="H41" s="34">
        <v>30.5</v>
      </c>
      <c r="I41" s="32"/>
      <c r="J41" s="32"/>
    </row>
    <row r="42" spans="1:27" ht="16" x14ac:dyDescent="0.2">
      <c r="A42" s="43" t="s">
        <v>24</v>
      </c>
      <c r="B42" s="43">
        <v>1.47</v>
      </c>
      <c r="C42" s="43">
        <v>0.95</v>
      </c>
      <c r="D42" s="43">
        <v>2.29</v>
      </c>
      <c r="E42" s="32"/>
      <c r="F42" s="32"/>
      <c r="G42" s="35" t="s">
        <v>28</v>
      </c>
      <c r="H42" s="32"/>
      <c r="I42" s="32"/>
      <c r="J42" s="32"/>
    </row>
    <row r="43" spans="1:27" ht="16" x14ac:dyDescent="0.2">
      <c r="A43" s="43" t="s">
        <v>25</v>
      </c>
      <c r="B43" s="43">
        <v>0.89</v>
      </c>
      <c r="C43" s="43">
        <v>0.46</v>
      </c>
      <c r="D43" s="43">
        <v>1.72</v>
      </c>
      <c r="E43" s="32"/>
      <c r="F43" s="32"/>
      <c r="G43" s="32"/>
      <c r="H43" s="32"/>
      <c r="I43" s="32"/>
      <c r="J43" s="32"/>
    </row>
    <row r="44" spans="1:27" ht="33" customHeight="1" x14ac:dyDescent="0.2">
      <c r="A44" s="32"/>
      <c r="B44" s="32"/>
      <c r="C44" s="32"/>
      <c r="D44" s="32"/>
      <c r="E44" s="32"/>
      <c r="F44" s="32"/>
      <c r="G44" s="228" t="s">
        <v>34</v>
      </c>
      <c r="H44" s="228"/>
      <c r="I44" s="32"/>
      <c r="J44" s="32"/>
    </row>
    <row r="45" spans="1:27" ht="16" x14ac:dyDescent="0.2">
      <c r="A45" s="32"/>
      <c r="B45" s="32"/>
      <c r="C45" s="32"/>
      <c r="D45" s="32"/>
      <c r="E45" s="32"/>
      <c r="F45" s="32"/>
      <c r="G45" s="33" t="s">
        <v>33</v>
      </c>
      <c r="H45" s="33" t="s">
        <v>32</v>
      </c>
      <c r="I45" s="32"/>
      <c r="J45" s="32"/>
    </row>
    <row r="46" spans="1:27" ht="16" x14ac:dyDescent="0.2">
      <c r="A46" s="32"/>
      <c r="B46" s="32"/>
      <c r="C46" s="32"/>
      <c r="D46" s="32"/>
      <c r="E46" s="32"/>
      <c r="F46" s="32"/>
      <c r="G46" s="34" t="s">
        <v>30</v>
      </c>
      <c r="H46" s="34">
        <f>1/H40*3</f>
        <v>0.13824884792626729</v>
      </c>
      <c r="I46" s="32"/>
      <c r="J46" s="32"/>
    </row>
    <row r="47" spans="1:27" ht="16" x14ac:dyDescent="0.2">
      <c r="A47" s="32"/>
      <c r="B47" s="32"/>
      <c r="C47" s="32"/>
      <c r="D47" s="32"/>
      <c r="E47" s="32"/>
      <c r="F47" s="32"/>
      <c r="G47" s="34" t="s">
        <v>31</v>
      </c>
      <c r="H47" s="34">
        <f>1/H41*3</f>
        <v>9.8360655737704916E-2</v>
      </c>
      <c r="I47" s="32"/>
      <c r="J47" s="32"/>
    </row>
    <row r="48" spans="1:27" ht="16" x14ac:dyDescent="0.2">
      <c r="A48" s="32"/>
      <c r="B48" s="32"/>
      <c r="C48" s="32"/>
      <c r="D48" s="32"/>
      <c r="E48" s="32"/>
      <c r="F48" s="32"/>
      <c r="G48" s="32"/>
      <c r="H48" s="32"/>
      <c r="I48" s="32"/>
      <c r="J48" s="32"/>
    </row>
    <row r="49" spans="1:10" ht="16" x14ac:dyDescent="0.2">
      <c r="A49" s="32"/>
      <c r="B49" s="32"/>
      <c r="C49" s="32"/>
      <c r="D49" s="32"/>
      <c r="E49" s="32"/>
      <c r="F49" s="32"/>
      <c r="G49" s="32"/>
      <c r="H49" s="32"/>
      <c r="I49" s="32"/>
      <c r="J49" s="32"/>
    </row>
    <row r="50" spans="1:10" ht="16" x14ac:dyDescent="0.2">
      <c r="A50" s="32"/>
      <c r="B50" s="32"/>
      <c r="C50" s="32"/>
      <c r="D50" s="32"/>
      <c r="E50" s="32"/>
      <c r="F50" s="32"/>
      <c r="G50" s="32"/>
      <c r="H50" s="32"/>
      <c r="I50" s="32"/>
      <c r="J50" s="32"/>
    </row>
    <row r="51" spans="1:10" ht="16" x14ac:dyDescent="0.2">
      <c r="A51" s="32"/>
      <c r="B51" s="32"/>
      <c r="C51" s="32"/>
      <c r="D51" s="32"/>
      <c r="E51" s="32"/>
      <c r="F51" s="32"/>
      <c r="G51" s="32"/>
      <c r="H51" s="32"/>
      <c r="I51" s="32"/>
      <c r="J51" s="32"/>
    </row>
    <row r="52" spans="1:10" ht="16" x14ac:dyDescent="0.2">
      <c r="A52" s="32"/>
      <c r="B52" s="32"/>
      <c r="C52" s="32"/>
      <c r="D52" s="32"/>
      <c r="E52" s="32"/>
      <c r="F52" s="32"/>
      <c r="G52" s="32"/>
      <c r="H52" s="32"/>
      <c r="I52" s="32"/>
      <c r="J52" s="32"/>
    </row>
    <row r="53" spans="1:10" ht="16" x14ac:dyDescent="0.2">
      <c r="A53" s="32"/>
      <c r="B53" s="32"/>
      <c r="C53" s="32"/>
      <c r="D53" s="32"/>
      <c r="E53" s="32"/>
      <c r="F53" s="32"/>
      <c r="G53" s="32"/>
      <c r="H53" s="32"/>
      <c r="I53" s="32"/>
      <c r="J53" s="32"/>
    </row>
  </sheetData>
  <mergeCells count="7">
    <mergeCell ref="A4:D4"/>
    <mergeCell ref="B38:D38"/>
    <mergeCell ref="G44:H44"/>
    <mergeCell ref="F4:H4"/>
    <mergeCell ref="G19:J19"/>
    <mergeCell ref="L19:O19"/>
    <mergeCell ref="G28:O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345"/>
  <sheetViews>
    <sheetView workbookViewId="0">
      <selection activeCell="C22" sqref="C22"/>
    </sheetView>
  </sheetViews>
  <sheetFormatPr baseColWidth="10" defaultColWidth="8.83203125" defaultRowHeight="15" x14ac:dyDescent="0.2"/>
  <cols>
    <col min="1" max="1" width="25.5" customWidth="1"/>
    <col min="2" max="2" width="15.1640625" bestFit="1" customWidth="1"/>
    <col min="3" max="3" width="16.83203125" customWidth="1"/>
    <col min="4" max="4" width="13.6640625" bestFit="1" customWidth="1"/>
    <col min="5" max="5" width="14.5" bestFit="1" customWidth="1"/>
    <col min="10" max="10" width="36" customWidth="1"/>
    <col min="11" max="11" width="9.6640625" customWidth="1"/>
    <col min="12" max="12" width="9" customWidth="1"/>
    <col min="13" max="13" width="38.5" bestFit="1" customWidth="1"/>
    <col min="14" max="14" width="13.5" bestFit="1" customWidth="1"/>
    <col min="15" max="16" width="12.1640625" bestFit="1" customWidth="1"/>
    <col min="19" max="19" width="22.1640625" customWidth="1"/>
    <col min="20" max="23" width="12.5" bestFit="1" customWidth="1"/>
    <col min="25" max="25" width="13.5" customWidth="1"/>
    <col min="26" max="26" width="32" customWidth="1"/>
    <col min="27" max="29" width="13.1640625" bestFit="1" customWidth="1"/>
    <col min="30" max="30" width="23.5" customWidth="1"/>
  </cols>
  <sheetData>
    <row r="1" spans="1:26" ht="16" x14ac:dyDescent="0.2">
      <c r="A1" s="36" t="s">
        <v>352</v>
      </c>
      <c r="B1" s="37"/>
      <c r="C1" s="37"/>
      <c r="D1" s="37"/>
      <c r="E1" s="37"/>
      <c r="F1" s="31"/>
      <c r="G1" s="31"/>
      <c r="H1" s="31"/>
      <c r="I1" s="31"/>
      <c r="J1" s="31"/>
      <c r="K1" s="31"/>
      <c r="L1" s="31"/>
      <c r="M1" s="31"/>
      <c r="N1" s="31"/>
      <c r="O1" s="31"/>
      <c r="P1" s="31"/>
      <c r="Q1" s="31"/>
      <c r="R1" s="31"/>
    </row>
    <row r="2" spans="1:26" ht="16" x14ac:dyDescent="0.2">
      <c r="A2" s="38" t="s">
        <v>44</v>
      </c>
      <c r="B2" s="37"/>
      <c r="C2" s="37"/>
      <c r="D2" s="37"/>
      <c r="E2" s="37"/>
      <c r="F2" s="31"/>
      <c r="G2" s="31"/>
      <c r="H2" s="31"/>
      <c r="I2" s="31"/>
      <c r="J2" s="31"/>
      <c r="K2" s="31"/>
      <c r="L2" s="31"/>
      <c r="M2" s="31"/>
      <c r="N2" s="31"/>
      <c r="O2" s="31"/>
      <c r="P2" s="31"/>
      <c r="Q2" s="31"/>
      <c r="R2" s="31"/>
    </row>
    <row r="3" spans="1:26" ht="16" x14ac:dyDescent="0.2">
      <c r="A3" s="33" t="s">
        <v>36</v>
      </c>
      <c r="B3" s="33" t="s">
        <v>41</v>
      </c>
      <c r="C3" s="33" t="s">
        <v>42</v>
      </c>
      <c r="D3" s="33" t="s">
        <v>43</v>
      </c>
      <c r="E3" s="32"/>
    </row>
    <row r="4" spans="1:26" ht="16" x14ac:dyDescent="0.2">
      <c r="A4" s="34" t="s">
        <v>37</v>
      </c>
      <c r="B4" s="34">
        <v>0.27300000000000002</v>
      </c>
      <c r="C4" s="34">
        <v>0.19</v>
      </c>
      <c r="D4" s="34">
        <v>0.81</v>
      </c>
      <c r="E4" s="32"/>
    </row>
    <row r="5" spans="1:26" ht="16" x14ac:dyDescent="0.2">
      <c r="A5" s="34" t="s">
        <v>38</v>
      </c>
      <c r="B5" s="34">
        <v>0.187</v>
      </c>
      <c r="C5" s="34">
        <v>0.44</v>
      </c>
      <c r="D5" s="34">
        <v>0.56000000000000005</v>
      </c>
      <c r="E5" s="32"/>
    </row>
    <row r="6" spans="1:26" ht="16" x14ac:dyDescent="0.2">
      <c r="A6" s="34" t="s">
        <v>39</v>
      </c>
      <c r="B6" s="34">
        <v>0.14699999999999999</v>
      </c>
      <c r="C6" s="34">
        <v>0.09</v>
      </c>
      <c r="D6" s="34">
        <v>0.91</v>
      </c>
      <c r="E6" s="32"/>
    </row>
    <row r="7" spans="1:26" ht="16" x14ac:dyDescent="0.2">
      <c r="A7" s="34" t="s">
        <v>40</v>
      </c>
      <c r="B7" s="34">
        <v>0.38</v>
      </c>
      <c r="C7" s="34">
        <v>0.26</v>
      </c>
      <c r="D7" s="34">
        <v>0.74</v>
      </c>
      <c r="E7" s="32"/>
    </row>
    <row r="8" spans="1:26" ht="16" x14ac:dyDescent="0.2">
      <c r="A8" s="32"/>
      <c r="B8" s="32"/>
      <c r="C8" s="32"/>
      <c r="D8" s="32"/>
      <c r="E8" s="32"/>
    </row>
    <row r="9" spans="1:26" ht="16" x14ac:dyDescent="0.2">
      <c r="A9" s="32"/>
      <c r="B9" s="32"/>
      <c r="C9" s="32"/>
      <c r="D9" s="32"/>
      <c r="E9" s="32"/>
      <c r="F9" s="32"/>
      <c r="G9" s="32"/>
      <c r="H9" s="32"/>
      <c r="I9" s="32"/>
      <c r="J9" s="32"/>
    </row>
    <row r="10" spans="1:26" ht="16" x14ac:dyDescent="0.2">
      <c r="A10" s="32"/>
      <c r="B10" s="32"/>
      <c r="C10" s="32"/>
      <c r="D10" s="32"/>
      <c r="E10" s="32"/>
      <c r="F10" s="32"/>
      <c r="G10" s="32"/>
      <c r="H10" s="32"/>
      <c r="I10" s="32"/>
      <c r="J10" s="32"/>
    </row>
    <row r="11" spans="1:26" ht="16" x14ac:dyDescent="0.2">
      <c r="A11" s="32"/>
      <c r="B11" s="32"/>
      <c r="C11" s="32"/>
      <c r="D11" s="32"/>
      <c r="E11" s="32"/>
      <c r="F11" s="32"/>
      <c r="G11" s="32"/>
      <c r="H11" s="32"/>
      <c r="I11" s="32"/>
      <c r="J11" s="32"/>
    </row>
    <row r="12" spans="1:26" ht="16" x14ac:dyDescent="0.2">
      <c r="A12" s="32"/>
      <c r="B12" s="32"/>
      <c r="C12" s="32"/>
      <c r="D12" s="32"/>
      <c r="E12" s="32"/>
      <c r="F12" s="32"/>
      <c r="G12" s="32"/>
      <c r="H12" s="32"/>
      <c r="I12" s="32"/>
      <c r="J12" s="32"/>
      <c r="N12" s="3"/>
      <c r="Q12" s="3"/>
      <c r="V12" s="4"/>
      <c r="Z12" s="3"/>
    </row>
    <row r="13" spans="1:26" ht="16" x14ac:dyDescent="0.2">
      <c r="A13" s="36" t="s">
        <v>203</v>
      </c>
      <c r="B13" s="37"/>
      <c r="C13" s="37"/>
      <c r="D13" s="37"/>
      <c r="E13" s="37"/>
      <c r="F13" s="37"/>
      <c r="G13" s="37"/>
      <c r="H13" s="37"/>
      <c r="I13" s="37"/>
      <c r="J13" s="37"/>
      <c r="K13" s="31"/>
      <c r="L13" s="31"/>
      <c r="M13" s="46"/>
      <c r="N13" s="47"/>
      <c r="O13" s="47"/>
      <c r="P13" s="47"/>
      <c r="Q13" s="47"/>
      <c r="R13" s="1"/>
      <c r="S13" s="1"/>
      <c r="V13" s="2"/>
    </row>
    <row r="14" spans="1:26" ht="16" x14ac:dyDescent="0.2">
      <c r="A14" s="38" t="s">
        <v>54</v>
      </c>
      <c r="B14" s="37"/>
      <c r="C14" s="37"/>
      <c r="D14" s="37"/>
      <c r="E14" s="37"/>
      <c r="F14" s="37"/>
      <c r="G14" s="37"/>
      <c r="H14" s="37"/>
      <c r="I14" s="37"/>
      <c r="J14" s="37"/>
      <c r="K14" s="31"/>
      <c r="L14" s="31"/>
      <c r="M14" s="31"/>
      <c r="N14" s="51"/>
      <c r="O14" s="51"/>
      <c r="P14" s="52"/>
      <c r="Q14" s="52"/>
      <c r="R14" s="2"/>
      <c r="S14" s="2"/>
      <c r="V14" s="1"/>
    </row>
    <row r="15" spans="1:26" ht="16" x14ac:dyDescent="0.2">
      <c r="A15" s="43"/>
      <c r="B15" s="42" t="s">
        <v>50</v>
      </c>
      <c r="C15" s="42"/>
      <c r="D15" s="42" t="s">
        <v>53</v>
      </c>
      <c r="E15" s="42"/>
      <c r="F15" s="32"/>
      <c r="G15" s="32"/>
      <c r="H15" s="32"/>
      <c r="I15" s="32"/>
      <c r="J15" s="32"/>
      <c r="N15" s="2"/>
      <c r="O15" s="2"/>
      <c r="P15" s="2"/>
      <c r="R15" s="2"/>
      <c r="S15" s="2"/>
    </row>
    <row r="16" spans="1:26" ht="16" x14ac:dyDescent="0.2">
      <c r="A16" s="42" t="s">
        <v>45</v>
      </c>
      <c r="B16" s="53" t="s">
        <v>51</v>
      </c>
      <c r="C16" s="53" t="s">
        <v>52</v>
      </c>
      <c r="D16" s="53" t="s">
        <v>51</v>
      </c>
      <c r="E16" s="53" t="s">
        <v>52</v>
      </c>
      <c r="F16" s="32"/>
      <c r="G16" s="32"/>
      <c r="H16" s="32"/>
      <c r="I16" s="32"/>
      <c r="J16" s="32"/>
      <c r="M16" s="1"/>
    </row>
    <row r="17" spans="1:27" ht="16" x14ac:dyDescent="0.2">
      <c r="A17" s="53" t="s">
        <v>46</v>
      </c>
      <c r="B17" s="43">
        <v>0.91</v>
      </c>
      <c r="C17" s="43">
        <v>0.95</v>
      </c>
      <c r="D17" s="43">
        <v>0.88</v>
      </c>
      <c r="E17" s="43">
        <v>0.89</v>
      </c>
      <c r="F17" s="32"/>
      <c r="G17" s="32"/>
      <c r="H17" s="32"/>
      <c r="I17" s="32"/>
      <c r="J17" s="32"/>
    </row>
    <row r="18" spans="1:27" ht="16" x14ac:dyDescent="0.2">
      <c r="A18" s="53" t="s">
        <v>47</v>
      </c>
      <c r="B18" s="43">
        <v>0.83</v>
      </c>
      <c r="C18" s="43">
        <v>0.91</v>
      </c>
      <c r="D18" s="43">
        <v>0.91</v>
      </c>
      <c r="E18" s="43">
        <v>0.89</v>
      </c>
      <c r="F18" s="32"/>
      <c r="G18" s="32"/>
      <c r="H18" s="32"/>
      <c r="I18" s="32"/>
      <c r="J18" s="32"/>
    </row>
    <row r="19" spans="1:27" ht="16" x14ac:dyDescent="0.2">
      <c r="A19" s="53" t="s">
        <v>48</v>
      </c>
      <c r="B19" s="43">
        <v>0.71</v>
      </c>
      <c r="C19" s="43">
        <v>0.78</v>
      </c>
      <c r="D19" s="43">
        <v>0.97</v>
      </c>
      <c r="E19" s="43">
        <v>0.97</v>
      </c>
      <c r="F19" s="32"/>
      <c r="G19" s="32"/>
      <c r="H19" s="32"/>
      <c r="I19" s="32"/>
      <c r="J19" s="32"/>
    </row>
    <row r="20" spans="1:27" ht="16" x14ac:dyDescent="0.2">
      <c r="A20" s="53" t="s">
        <v>49</v>
      </c>
      <c r="B20" s="43">
        <v>0.76</v>
      </c>
      <c r="C20" s="43">
        <v>0.84</v>
      </c>
      <c r="D20" s="43">
        <v>0.86</v>
      </c>
      <c r="E20" s="43">
        <v>0.87</v>
      </c>
      <c r="F20" s="32"/>
      <c r="G20" s="32"/>
      <c r="H20" s="32"/>
      <c r="I20" s="32"/>
      <c r="J20" s="32"/>
    </row>
    <row r="21" spans="1:27" ht="16" x14ac:dyDescent="0.2">
      <c r="A21" s="32"/>
      <c r="B21" s="32"/>
      <c r="C21" s="32"/>
      <c r="D21" s="32"/>
      <c r="E21" s="32"/>
      <c r="F21" s="32"/>
      <c r="G21" s="32"/>
      <c r="H21" s="32"/>
      <c r="I21" s="32"/>
      <c r="J21" s="32"/>
    </row>
    <row r="22" spans="1:27" ht="16" x14ac:dyDescent="0.2">
      <c r="A22" s="32"/>
      <c r="B22" s="32"/>
      <c r="C22" s="32"/>
      <c r="D22" s="32"/>
      <c r="E22" s="32"/>
      <c r="F22" s="32"/>
      <c r="G22" s="32"/>
      <c r="H22" s="32"/>
      <c r="I22" s="32"/>
      <c r="J22" s="32"/>
      <c r="S22" s="3"/>
    </row>
    <row r="23" spans="1:27" ht="16" x14ac:dyDescent="0.2">
      <c r="A23" s="32"/>
      <c r="B23" s="32"/>
      <c r="C23" s="32"/>
      <c r="D23" s="32"/>
      <c r="E23" s="32"/>
      <c r="F23" s="32"/>
      <c r="G23" s="32"/>
      <c r="H23" s="32"/>
      <c r="I23" s="32"/>
      <c r="J23" s="32"/>
      <c r="K23" s="2"/>
      <c r="T23" s="3"/>
      <c r="U23" s="3"/>
      <c r="V23" s="3"/>
      <c r="W23" s="3"/>
    </row>
    <row r="24" spans="1:27" ht="16" x14ac:dyDescent="0.2">
      <c r="A24" s="32"/>
      <c r="B24" s="32"/>
      <c r="C24" s="32"/>
      <c r="D24" s="32"/>
      <c r="E24" s="32"/>
      <c r="F24" s="32"/>
      <c r="G24" s="32"/>
      <c r="H24" s="32"/>
      <c r="I24" s="32"/>
      <c r="J24" s="32"/>
      <c r="S24" s="3"/>
      <c r="T24" s="1"/>
      <c r="U24" s="1"/>
      <c r="V24" s="1"/>
      <c r="W24" s="1"/>
    </row>
    <row r="25" spans="1:27" ht="16" x14ac:dyDescent="0.2">
      <c r="A25" s="32"/>
      <c r="B25" s="32"/>
      <c r="C25" s="32"/>
      <c r="D25" s="32"/>
      <c r="E25" s="32"/>
      <c r="F25" s="32"/>
      <c r="G25" s="32"/>
      <c r="H25" s="32"/>
      <c r="I25" s="32"/>
      <c r="J25" s="32"/>
      <c r="S25" s="1"/>
    </row>
    <row r="26" spans="1:27" ht="16" x14ac:dyDescent="0.2">
      <c r="A26" s="37" t="s">
        <v>204</v>
      </c>
      <c r="B26" s="37"/>
      <c r="C26" s="37"/>
      <c r="D26" s="37"/>
      <c r="E26" s="37"/>
      <c r="F26" s="37"/>
      <c r="G26" s="37"/>
      <c r="H26" s="37"/>
      <c r="I26" s="37"/>
      <c r="J26" s="37"/>
      <c r="K26" s="31"/>
      <c r="L26" s="31"/>
      <c r="M26" s="31"/>
      <c r="N26" s="31"/>
      <c r="O26" s="31"/>
      <c r="P26" s="31"/>
      <c r="Q26" s="31"/>
      <c r="S26" s="1"/>
    </row>
    <row r="27" spans="1:27" ht="16" x14ac:dyDescent="0.2">
      <c r="A27" s="38" t="s">
        <v>55</v>
      </c>
      <c r="B27" s="37"/>
      <c r="C27" s="37"/>
      <c r="D27" s="37"/>
      <c r="E27" s="37"/>
      <c r="F27" s="37"/>
      <c r="G27" s="37"/>
      <c r="H27" s="37"/>
      <c r="I27" s="37"/>
      <c r="J27" s="37"/>
      <c r="K27" s="31"/>
      <c r="L27" s="31"/>
      <c r="M27" s="31"/>
      <c r="N27" s="31"/>
      <c r="O27" s="31"/>
      <c r="P27" s="31"/>
      <c r="Q27" s="31"/>
      <c r="S27" s="1"/>
    </row>
    <row r="28" spans="1:27" ht="51" x14ac:dyDescent="0.2">
      <c r="A28" s="54" t="s">
        <v>56</v>
      </c>
      <c r="B28" s="32"/>
      <c r="C28" s="32"/>
      <c r="D28" s="32"/>
      <c r="E28" s="32"/>
      <c r="F28" s="32"/>
      <c r="G28" s="32"/>
      <c r="H28" s="32"/>
      <c r="I28" s="32"/>
      <c r="J28" s="32"/>
      <c r="S28" s="1"/>
    </row>
    <row r="29" spans="1:27" ht="16" x14ac:dyDescent="0.2">
      <c r="A29" s="34">
        <v>0.16</v>
      </c>
      <c r="B29" s="32"/>
      <c r="C29" s="32"/>
      <c r="D29" s="32"/>
      <c r="E29" s="32"/>
      <c r="F29" s="32"/>
      <c r="G29" s="32"/>
      <c r="H29" s="32"/>
      <c r="I29" s="32"/>
      <c r="J29" s="32"/>
      <c r="S29" s="1"/>
      <c r="AA29" s="2"/>
    </row>
    <row r="30" spans="1:27" ht="16" x14ac:dyDescent="0.2">
      <c r="A30" s="32"/>
      <c r="B30" s="32"/>
      <c r="C30" s="32"/>
      <c r="D30" s="32"/>
      <c r="E30" s="32"/>
      <c r="F30" s="32"/>
      <c r="G30" s="32"/>
      <c r="H30" s="32"/>
      <c r="I30" s="32"/>
      <c r="J30" s="32"/>
    </row>
    <row r="31" spans="1:27" ht="16" x14ac:dyDescent="0.2">
      <c r="A31" s="32"/>
      <c r="B31" s="32"/>
      <c r="C31" s="32"/>
      <c r="D31" s="32"/>
      <c r="E31" s="32"/>
      <c r="F31" s="32"/>
      <c r="G31" s="32"/>
      <c r="H31" s="32"/>
      <c r="I31" s="32"/>
      <c r="J31" s="32"/>
      <c r="S31" s="3"/>
    </row>
    <row r="32" spans="1:27" ht="16" x14ac:dyDescent="0.2">
      <c r="A32" s="32"/>
      <c r="B32" s="32"/>
      <c r="C32" s="32"/>
      <c r="D32" s="32"/>
      <c r="E32" s="32"/>
      <c r="F32" s="32"/>
      <c r="G32" s="32"/>
      <c r="H32" s="32"/>
      <c r="I32" s="32"/>
      <c r="J32" s="32"/>
      <c r="T32" s="3"/>
      <c r="U32" s="3"/>
      <c r="V32" s="3"/>
      <c r="W32" s="3"/>
    </row>
    <row r="33" spans="1:23" ht="16" x14ac:dyDescent="0.2">
      <c r="A33" s="32"/>
      <c r="B33" s="32"/>
      <c r="C33" s="32"/>
      <c r="D33" s="32"/>
      <c r="E33" s="32"/>
      <c r="F33" s="32"/>
      <c r="G33" s="32"/>
      <c r="H33" s="32"/>
      <c r="I33" s="32"/>
      <c r="J33" s="32"/>
      <c r="S33" s="3"/>
      <c r="T33" s="1"/>
      <c r="U33" s="1"/>
      <c r="V33" s="1"/>
      <c r="W33" s="1"/>
    </row>
    <row r="34" spans="1:23" ht="16" x14ac:dyDescent="0.2">
      <c r="A34" s="32"/>
      <c r="B34" s="32"/>
      <c r="C34" s="32"/>
      <c r="D34" s="32"/>
      <c r="E34" s="32"/>
      <c r="F34" s="32"/>
      <c r="G34" s="32"/>
      <c r="H34" s="32"/>
      <c r="I34" s="32"/>
      <c r="J34" s="32"/>
      <c r="S34" s="1"/>
    </row>
    <row r="35" spans="1:23" ht="16" x14ac:dyDescent="0.2">
      <c r="A35" s="55" t="s">
        <v>206</v>
      </c>
      <c r="B35" s="56"/>
      <c r="C35" s="56"/>
      <c r="D35" s="56"/>
      <c r="E35" s="56"/>
      <c r="F35" s="56"/>
      <c r="G35" s="56"/>
      <c r="H35" s="56"/>
      <c r="I35" s="56"/>
      <c r="J35" s="56"/>
      <c r="K35" s="57"/>
      <c r="L35" s="57"/>
      <c r="M35" s="57"/>
      <c r="N35" s="57"/>
      <c r="O35" s="57"/>
      <c r="P35" s="57"/>
      <c r="Q35" s="57"/>
      <c r="S35" s="1"/>
    </row>
    <row r="36" spans="1:23" ht="16" x14ac:dyDescent="0.2">
      <c r="A36" s="58" t="s">
        <v>61</v>
      </c>
      <c r="B36" s="56"/>
      <c r="C36" s="56"/>
      <c r="D36" s="56"/>
      <c r="E36" s="56"/>
      <c r="F36" s="56"/>
      <c r="G36" s="56"/>
      <c r="H36" s="56"/>
      <c r="I36" s="56"/>
      <c r="J36" s="56"/>
      <c r="K36" s="57"/>
      <c r="L36" s="57"/>
      <c r="M36" s="57"/>
      <c r="N36" s="57"/>
      <c r="O36" s="57"/>
      <c r="P36" s="57"/>
      <c r="Q36" s="57"/>
      <c r="S36" s="1"/>
    </row>
    <row r="37" spans="1:23" ht="16" x14ac:dyDescent="0.2">
      <c r="A37" s="43"/>
      <c r="B37" s="42" t="s">
        <v>60</v>
      </c>
      <c r="C37" s="43"/>
      <c r="D37" s="32"/>
      <c r="E37" s="32"/>
      <c r="F37" s="32"/>
      <c r="G37" s="32"/>
      <c r="H37" s="32"/>
      <c r="I37" s="32"/>
      <c r="J37" s="32"/>
      <c r="S37" s="1"/>
    </row>
    <row r="38" spans="1:23" ht="16" x14ac:dyDescent="0.2">
      <c r="A38" s="42" t="s">
        <v>45</v>
      </c>
      <c r="B38" s="53" t="s">
        <v>57</v>
      </c>
      <c r="C38" s="53" t="s">
        <v>31</v>
      </c>
      <c r="D38" s="32"/>
      <c r="E38" s="32"/>
      <c r="F38" s="32"/>
      <c r="G38" s="32"/>
      <c r="H38" s="32"/>
      <c r="I38" s="32"/>
      <c r="J38" s="32"/>
    </row>
    <row r="39" spans="1:23" ht="16" x14ac:dyDescent="0.2">
      <c r="A39" s="53" t="s">
        <v>59</v>
      </c>
      <c r="B39" s="43">
        <f>1/5</f>
        <v>0.2</v>
      </c>
      <c r="C39" s="43">
        <f>1/10</f>
        <v>0.1</v>
      </c>
      <c r="D39" s="32"/>
      <c r="E39" s="32"/>
      <c r="F39" s="32"/>
      <c r="G39" s="32"/>
      <c r="H39" s="32"/>
      <c r="I39" s="32"/>
      <c r="J39" s="32"/>
    </row>
    <row r="40" spans="1:23" ht="16" x14ac:dyDescent="0.2">
      <c r="A40" s="53" t="s">
        <v>58</v>
      </c>
      <c r="B40" s="43">
        <f>1/3</f>
        <v>0.33333333333333331</v>
      </c>
      <c r="C40" s="43">
        <f>1/5</f>
        <v>0.2</v>
      </c>
      <c r="D40" s="32"/>
      <c r="E40" s="32"/>
      <c r="F40" s="32"/>
      <c r="G40" s="32"/>
      <c r="H40" s="32"/>
      <c r="I40" s="32"/>
      <c r="J40" s="32"/>
    </row>
    <row r="41" spans="1:23" ht="16" x14ac:dyDescent="0.2">
      <c r="A41" s="32"/>
      <c r="B41" s="32"/>
      <c r="C41" s="32"/>
      <c r="D41" s="32"/>
      <c r="E41" s="32"/>
      <c r="F41" s="32"/>
      <c r="G41" s="32"/>
      <c r="H41" s="32"/>
      <c r="I41" s="32"/>
      <c r="J41" s="32"/>
    </row>
    <row r="42" spans="1:23" ht="16" x14ac:dyDescent="0.2">
      <c r="A42" s="32"/>
      <c r="B42" s="32"/>
      <c r="C42" s="32"/>
      <c r="D42" s="32"/>
      <c r="E42" s="32"/>
      <c r="F42" s="32"/>
      <c r="G42" s="32"/>
      <c r="H42" s="32"/>
      <c r="I42" s="32"/>
      <c r="J42" s="32"/>
    </row>
    <row r="43" spans="1:23" ht="16" x14ac:dyDescent="0.2">
      <c r="A43" s="32"/>
      <c r="B43" s="32"/>
      <c r="C43" s="32"/>
      <c r="D43" s="32"/>
      <c r="E43" s="32"/>
      <c r="F43" s="32"/>
      <c r="G43" s="32"/>
      <c r="H43" s="32"/>
      <c r="I43" s="32"/>
      <c r="J43" s="32"/>
    </row>
    <row r="44" spans="1:23" ht="16" x14ac:dyDescent="0.2">
      <c r="A44" s="32"/>
      <c r="B44" s="32"/>
      <c r="C44" s="32"/>
      <c r="D44" s="32"/>
      <c r="E44" s="32"/>
      <c r="F44" s="32"/>
      <c r="G44" s="32"/>
      <c r="H44" s="32"/>
      <c r="I44" s="32"/>
      <c r="J44" s="32"/>
    </row>
    <row r="45" spans="1:23" ht="16" x14ac:dyDescent="0.2">
      <c r="A45" s="32"/>
      <c r="B45" s="32"/>
      <c r="C45" s="32"/>
      <c r="D45" s="32"/>
      <c r="E45" s="32"/>
      <c r="F45" s="32"/>
      <c r="G45" s="32"/>
      <c r="H45" s="32"/>
      <c r="I45" s="32"/>
      <c r="J45" s="32"/>
    </row>
    <row r="46" spans="1:23" ht="16" x14ac:dyDescent="0.2">
      <c r="A46" s="37" t="s">
        <v>205</v>
      </c>
      <c r="B46" s="37"/>
      <c r="C46" s="37"/>
      <c r="D46" s="37"/>
      <c r="E46" s="37"/>
      <c r="F46" s="37"/>
      <c r="G46" s="37"/>
      <c r="H46" s="37"/>
      <c r="I46" s="37"/>
      <c r="J46" s="37"/>
      <c r="K46" s="31"/>
      <c r="L46" s="31"/>
      <c r="M46" s="31"/>
      <c r="N46" s="31"/>
      <c r="O46" s="31"/>
      <c r="P46" s="31"/>
      <c r="Q46" s="31"/>
    </row>
    <row r="47" spans="1:23" ht="16" x14ac:dyDescent="0.2">
      <c r="A47" s="38" t="s">
        <v>112</v>
      </c>
      <c r="B47" s="37"/>
      <c r="C47" s="37"/>
      <c r="D47" s="37"/>
      <c r="E47" s="37"/>
      <c r="F47" s="37"/>
      <c r="G47" s="37"/>
      <c r="H47" s="37"/>
      <c r="I47" s="37"/>
      <c r="J47" s="37"/>
      <c r="K47" s="31"/>
      <c r="L47" s="31"/>
      <c r="M47" s="31"/>
      <c r="N47" s="31"/>
      <c r="O47" s="31"/>
      <c r="P47" s="31"/>
      <c r="Q47" s="31"/>
    </row>
    <row r="48" spans="1:23" ht="34" x14ac:dyDescent="0.2">
      <c r="A48" s="59" t="s">
        <v>113</v>
      </c>
      <c r="B48" s="60">
        <v>0.09</v>
      </c>
      <c r="C48" s="32"/>
      <c r="D48" s="32"/>
      <c r="E48" s="32"/>
      <c r="F48" s="32"/>
      <c r="G48" s="32"/>
      <c r="H48" s="32"/>
      <c r="I48" s="32"/>
      <c r="J48" s="32"/>
    </row>
    <row r="49" spans="1:17" ht="16" x14ac:dyDescent="0.2">
      <c r="A49" s="32"/>
      <c r="B49" s="32"/>
      <c r="C49" s="32"/>
      <c r="D49" s="32"/>
      <c r="E49" s="32"/>
      <c r="F49" s="32"/>
      <c r="G49" s="32"/>
      <c r="H49" s="32"/>
      <c r="I49" s="32"/>
      <c r="J49" s="32"/>
    </row>
    <row r="50" spans="1:17" ht="16" x14ac:dyDescent="0.2">
      <c r="A50" s="32"/>
      <c r="B50" s="32"/>
      <c r="C50" s="32"/>
      <c r="D50" s="32"/>
      <c r="E50" s="32"/>
      <c r="F50" s="32"/>
      <c r="G50" s="32"/>
      <c r="H50" s="32"/>
      <c r="I50" s="32"/>
      <c r="J50" s="32"/>
    </row>
    <row r="51" spans="1:17" ht="16" x14ac:dyDescent="0.2">
      <c r="A51" s="32"/>
      <c r="B51" s="32"/>
      <c r="C51" s="32"/>
      <c r="D51" s="32"/>
      <c r="E51" s="32"/>
      <c r="F51" s="32"/>
      <c r="G51" s="32"/>
      <c r="H51" s="32"/>
      <c r="I51" s="32"/>
      <c r="J51" s="32"/>
    </row>
    <row r="52" spans="1:17" ht="16" x14ac:dyDescent="0.2">
      <c r="A52" s="32"/>
      <c r="B52" s="32"/>
      <c r="C52" s="32"/>
      <c r="D52" s="32"/>
      <c r="E52" s="32"/>
      <c r="F52" s="32"/>
      <c r="G52" s="32"/>
      <c r="H52" s="32"/>
      <c r="I52" s="32"/>
      <c r="J52" s="32"/>
    </row>
    <row r="53" spans="1:17" ht="16" x14ac:dyDescent="0.2">
      <c r="A53" s="32"/>
      <c r="B53" s="32"/>
      <c r="C53" s="32"/>
      <c r="D53" s="32"/>
      <c r="E53" s="32"/>
      <c r="F53" s="32"/>
      <c r="G53" s="32"/>
      <c r="H53" s="32"/>
      <c r="I53" s="32"/>
      <c r="J53" s="32"/>
    </row>
    <row r="54" spans="1:17" ht="16" x14ac:dyDescent="0.2">
      <c r="A54" s="36" t="s">
        <v>208</v>
      </c>
      <c r="B54" s="37"/>
      <c r="C54" s="37"/>
      <c r="D54" s="37"/>
      <c r="E54" s="37"/>
      <c r="F54" s="37"/>
      <c r="G54" s="37"/>
      <c r="H54" s="37"/>
      <c r="I54" s="37"/>
      <c r="J54" s="37"/>
      <c r="K54" s="31"/>
      <c r="L54" s="31"/>
      <c r="M54" s="31"/>
      <c r="N54" s="31"/>
      <c r="O54" s="31"/>
      <c r="P54" s="31"/>
      <c r="Q54" s="31"/>
    </row>
    <row r="55" spans="1:17" ht="16" x14ac:dyDescent="0.2">
      <c r="A55" s="43"/>
      <c r="B55" s="42" t="s">
        <v>0</v>
      </c>
      <c r="C55" s="32"/>
      <c r="D55" s="32"/>
      <c r="E55" s="32"/>
      <c r="F55" s="32"/>
      <c r="G55" s="32"/>
      <c r="H55" s="32"/>
      <c r="I55" s="32"/>
      <c r="J55" s="32"/>
    </row>
    <row r="56" spans="1:17" ht="16" x14ac:dyDescent="0.2">
      <c r="A56" s="42" t="s">
        <v>62</v>
      </c>
      <c r="B56" s="43">
        <v>25</v>
      </c>
      <c r="C56" s="32"/>
      <c r="D56" s="32"/>
      <c r="E56" s="32"/>
      <c r="F56" s="32"/>
      <c r="G56" s="32"/>
      <c r="H56" s="32"/>
      <c r="I56" s="32"/>
      <c r="J56" s="32"/>
    </row>
    <row r="57" spans="1:17" ht="16" x14ac:dyDescent="0.2">
      <c r="A57" s="42" t="s">
        <v>207</v>
      </c>
      <c r="B57" s="43">
        <v>55</v>
      </c>
      <c r="C57" s="32"/>
      <c r="D57" s="32"/>
      <c r="E57" s="32"/>
      <c r="F57" s="32"/>
      <c r="G57" s="32"/>
      <c r="H57" s="32"/>
      <c r="I57" s="32"/>
      <c r="J57" s="32"/>
    </row>
    <row r="58" spans="1:17" ht="16" x14ac:dyDescent="0.2">
      <c r="A58" s="32"/>
      <c r="B58" s="32"/>
      <c r="C58" s="32"/>
      <c r="D58" s="32"/>
      <c r="E58" s="32"/>
      <c r="F58" s="32"/>
      <c r="G58" s="32"/>
      <c r="H58" s="32"/>
      <c r="I58" s="32"/>
      <c r="J58" s="32"/>
    </row>
    <row r="59" spans="1:17" ht="16" x14ac:dyDescent="0.2">
      <c r="A59" s="32"/>
      <c r="B59" s="32"/>
      <c r="C59" s="32"/>
      <c r="D59" s="32"/>
      <c r="E59" s="32"/>
      <c r="F59" s="32"/>
      <c r="G59" s="32"/>
      <c r="H59" s="32"/>
      <c r="I59" s="32"/>
      <c r="J59" s="32"/>
    </row>
    <row r="60" spans="1:17" ht="16" x14ac:dyDescent="0.2">
      <c r="A60" s="32"/>
      <c r="B60" s="32"/>
      <c r="C60" s="32"/>
      <c r="D60" s="32"/>
      <c r="E60" s="32"/>
      <c r="F60" s="32"/>
      <c r="G60" s="32"/>
      <c r="H60" s="32"/>
      <c r="I60" s="32"/>
      <c r="J60" s="32"/>
    </row>
    <row r="61" spans="1:17" ht="16" x14ac:dyDescent="0.2">
      <c r="A61" s="32"/>
      <c r="B61" s="32"/>
      <c r="C61" s="32"/>
      <c r="D61" s="32"/>
      <c r="E61" s="32"/>
      <c r="F61" s="32"/>
      <c r="G61" s="32"/>
      <c r="H61" s="32"/>
      <c r="I61" s="32"/>
      <c r="J61" s="32"/>
    </row>
    <row r="62" spans="1:17" ht="16" x14ac:dyDescent="0.2">
      <c r="A62" s="32"/>
      <c r="B62" s="32"/>
      <c r="C62" s="32"/>
      <c r="D62" s="32"/>
      <c r="E62" s="32"/>
      <c r="F62" s="32"/>
      <c r="G62" s="32"/>
      <c r="H62" s="32"/>
      <c r="I62" s="32"/>
      <c r="J62" s="32"/>
    </row>
    <row r="63" spans="1:17" ht="16" x14ac:dyDescent="0.2">
      <c r="A63" s="32"/>
      <c r="B63" s="32"/>
      <c r="C63" s="32"/>
      <c r="D63" s="32"/>
      <c r="E63" s="32"/>
      <c r="F63" s="32"/>
      <c r="G63" s="32"/>
      <c r="H63" s="32"/>
      <c r="I63" s="32"/>
      <c r="J63" s="32"/>
    </row>
    <row r="64" spans="1:17" ht="16" x14ac:dyDescent="0.2">
      <c r="A64" s="32"/>
      <c r="B64" s="32"/>
      <c r="C64" s="32"/>
      <c r="D64" s="32"/>
      <c r="E64" s="32"/>
      <c r="F64" s="32"/>
      <c r="G64" s="32"/>
      <c r="H64" s="32"/>
      <c r="I64" s="32"/>
      <c r="J64" s="32"/>
    </row>
    <row r="65" spans="1:10" ht="16" x14ac:dyDescent="0.2">
      <c r="A65" s="32"/>
      <c r="B65" s="32"/>
      <c r="C65" s="32"/>
      <c r="D65" s="32"/>
      <c r="E65" s="32"/>
      <c r="F65" s="32"/>
      <c r="G65" s="32"/>
      <c r="H65" s="32"/>
      <c r="I65" s="32"/>
      <c r="J65" s="32"/>
    </row>
    <row r="66" spans="1:10" ht="16" x14ac:dyDescent="0.2">
      <c r="A66" s="32"/>
      <c r="B66" s="32"/>
      <c r="C66" s="32"/>
      <c r="D66" s="32"/>
      <c r="E66" s="32"/>
      <c r="F66" s="32"/>
      <c r="G66" s="32"/>
      <c r="H66" s="32"/>
      <c r="I66" s="32"/>
      <c r="J66" s="32"/>
    </row>
    <row r="67" spans="1:10" ht="16" x14ac:dyDescent="0.2">
      <c r="A67" s="32"/>
      <c r="B67" s="32"/>
      <c r="C67" s="32"/>
      <c r="D67" s="32"/>
      <c r="E67" s="32"/>
      <c r="F67" s="32"/>
      <c r="G67" s="32"/>
      <c r="H67" s="32"/>
      <c r="I67" s="32"/>
      <c r="J67" s="32"/>
    </row>
    <row r="68" spans="1:10" ht="16" x14ac:dyDescent="0.2">
      <c r="A68" s="32"/>
      <c r="B68" s="32"/>
      <c r="C68" s="32"/>
      <c r="D68" s="32"/>
      <c r="E68" s="32"/>
      <c r="F68" s="32"/>
      <c r="G68" s="32"/>
      <c r="H68" s="32"/>
      <c r="I68" s="32"/>
      <c r="J68" s="32"/>
    </row>
    <row r="69" spans="1:10" ht="16" x14ac:dyDescent="0.2">
      <c r="A69" s="32"/>
      <c r="B69" s="32"/>
      <c r="C69" s="32"/>
      <c r="D69" s="32"/>
      <c r="E69" s="32"/>
      <c r="F69" s="32"/>
      <c r="G69" s="32"/>
      <c r="H69" s="32"/>
      <c r="I69" s="32"/>
      <c r="J69" s="32"/>
    </row>
    <row r="70" spans="1:10" ht="16" x14ac:dyDescent="0.2">
      <c r="A70" s="32"/>
      <c r="B70" s="32"/>
      <c r="C70" s="32"/>
      <c r="D70" s="32"/>
      <c r="E70" s="32"/>
      <c r="F70" s="32"/>
      <c r="G70" s="32"/>
      <c r="H70" s="32"/>
      <c r="I70" s="32"/>
      <c r="J70" s="32"/>
    </row>
    <row r="71" spans="1:10" ht="16" x14ac:dyDescent="0.2">
      <c r="A71" s="32"/>
      <c r="B71" s="32"/>
      <c r="C71" s="32"/>
      <c r="D71" s="32"/>
      <c r="E71" s="32"/>
      <c r="F71" s="32"/>
      <c r="G71" s="32"/>
      <c r="H71" s="32"/>
      <c r="I71" s="32"/>
      <c r="J71" s="32"/>
    </row>
    <row r="72" spans="1:10" ht="16" x14ac:dyDescent="0.2">
      <c r="A72" s="32"/>
      <c r="B72" s="32"/>
      <c r="C72" s="32"/>
      <c r="D72" s="32"/>
      <c r="E72" s="32"/>
      <c r="F72" s="32"/>
      <c r="G72" s="32"/>
      <c r="H72" s="32"/>
      <c r="I72" s="32"/>
      <c r="J72" s="32"/>
    </row>
    <row r="73" spans="1:10" ht="16" x14ac:dyDescent="0.2">
      <c r="A73" s="32"/>
      <c r="B73" s="32"/>
      <c r="C73" s="32"/>
      <c r="D73" s="32"/>
      <c r="E73" s="32"/>
      <c r="F73" s="32"/>
      <c r="G73" s="32"/>
      <c r="H73" s="32"/>
      <c r="I73" s="32"/>
      <c r="J73" s="32"/>
    </row>
    <row r="74" spans="1:10" ht="16" x14ac:dyDescent="0.2">
      <c r="A74" s="32"/>
      <c r="B74" s="32"/>
      <c r="C74" s="32"/>
      <c r="D74" s="32"/>
      <c r="E74" s="32"/>
      <c r="F74" s="32"/>
      <c r="G74" s="32"/>
      <c r="H74" s="32"/>
      <c r="I74" s="32"/>
      <c r="J74" s="32"/>
    </row>
    <row r="75" spans="1:10" ht="16" x14ac:dyDescent="0.2">
      <c r="A75" s="32"/>
      <c r="B75" s="32"/>
      <c r="C75" s="32"/>
      <c r="D75" s="32"/>
      <c r="E75" s="32"/>
      <c r="F75" s="32"/>
      <c r="G75" s="32"/>
      <c r="H75" s="32"/>
      <c r="I75" s="32"/>
      <c r="J75" s="32"/>
    </row>
    <row r="76" spans="1:10" ht="16" x14ac:dyDescent="0.2">
      <c r="A76" s="32"/>
      <c r="B76" s="32"/>
      <c r="C76" s="32"/>
      <c r="D76" s="32"/>
      <c r="E76" s="32"/>
      <c r="F76" s="32"/>
      <c r="G76" s="32"/>
      <c r="H76" s="32"/>
      <c r="I76" s="32"/>
      <c r="J76" s="32"/>
    </row>
    <row r="77" spans="1:10" ht="16" x14ac:dyDescent="0.2">
      <c r="A77" s="32"/>
      <c r="B77" s="32"/>
      <c r="C77" s="32"/>
      <c r="D77" s="32"/>
      <c r="E77" s="32"/>
      <c r="F77" s="32"/>
      <c r="G77" s="32"/>
      <c r="H77" s="32"/>
      <c r="I77" s="32"/>
      <c r="J77" s="32"/>
    </row>
    <row r="78" spans="1:10" ht="16" x14ac:dyDescent="0.2">
      <c r="A78" s="32"/>
      <c r="B78" s="32"/>
      <c r="C78" s="32"/>
      <c r="D78" s="32"/>
      <c r="E78" s="32"/>
      <c r="F78" s="32"/>
      <c r="G78" s="32"/>
      <c r="H78" s="32"/>
      <c r="I78" s="32"/>
      <c r="J78" s="32"/>
    </row>
    <row r="79" spans="1:10" ht="16" x14ac:dyDescent="0.2">
      <c r="A79" s="32"/>
      <c r="B79" s="32"/>
      <c r="C79" s="32"/>
      <c r="D79" s="32"/>
      <c r="E79" s="32"/>
      <c r="F79" s="32"/>
      <c r="G79" s="32"/>
      <c r="H79" s="32"/>
      <c r="I79" s="32"/>
      <c r="J79" s="32"/>
    </row>
    <row r="80" spans="1:10" ht="16" x14ac:dyDescent="0.2">
      <c r="A80" s="32"/>
      <c r="B80" s="32"/>
      <c r="C80" s="32"/>
      <c r="D80" s="32"/>
      <c r="E80" s="32"/>
      <c r="F80" s="32"/>
      <c r="G80" s="32"/>
      <c r="H80" s="32"/>
      <c r="I80" s="32"/>
      <c r="J80" s="32"/>
    </row>
    <row r="81" spans="1:10" ht="16" x14ac:dyDescent="0.2">
      <c r="A81" s="32"/>
      <c r="B81" s="32"/>
      <c r="C81" s="32"/>
      <c r="D81" s="32"/>
      <c r="E81" s="32"/>
      <c r="F81" s="32"/>
      <c r="G81" s="32"/>
      <c r="H81" s="32"/>
      <c r="I81" s="32"/>
      <c r="J81" s="32"/>
    </row>
    <row r="82" spans="1:10" ht="16" x14ac:dyDescent="0.2">
      <c r="A82" s="32"/>
      <c r="B82" s="32"/>
      <c r="C82" s="32"/>
      <c r="D82" s="32"/>
      <c r="E82" s="32"/>
      <c r="F82" s="32"/>
      <c r="G82" s="32"/>
      <c r="H82" s="32"/>
      <c r="I82" s="32"/>
      <c r="J82" s="32"/>
    </row>
    <row r="83" spans="1:10" ht="16" x14ac:dyDescent="0.2">
      <c r="A83" s="32"/>
      <c r="B83" s="32"/>
      <c r="C83" s="32"/>
      <c r="D83" s="32"/>
      <c r="E83" s="32"/>
      <c r="F83" s="32"/>
      <c r="G83" s="32"/>
      <c r="H83" s="32"/>
      <c r="I83" s="32"/>
      <c r="J83" s="32"/>
    </row>
    <row r="84" spans="1:10" ht="16" x14ac:dyDescent="0.2">
      <c r="A84" s="32"/>
      <c r="B84" s="32"/>
      <c r="C84" s="32"/>
      <c r="D84" s="32"/>
      <c r="E84" s="32"/>
      <c r="F84" s="32"/>
      <c r="G84" s="32"/>
      <c r="H84" s="32"/>
      <c r="I84" s="32"/>
      <c r="J84" s="32"/>
    </row>
    <row r="85" spans="1:10" ht="16" x14ac:dyDescent="0.2">
      <c r="A85" s="32"/>
      <c r="B85" s="32"/>
      <c r="C85" s="32"/>
      <c r="D85" s="32"/>
      <c r="E85" s="32"/>
      <c r="F85" s="32"/>
      <c r="G85" s="32"/>
      <c r="H85" s="32"/>
      <c r="I85" s="32"/>
      <c r="J85" s="32"/>
    </row>
    <row r="86" spans="1:10" ht="16" x14ac:dyDescent="0.2">
      <c r="A86" s="32"/>
      <c r="B86" s="32"/>
      <c r="C86" s="32"/>
      <c r="D86" s="32"/>
      <c r="E86" s="32"/>
      <c r="F86" s="32"/>
      <c r="G86" s="32"/>
      <c r="H86" s="32"/>
      <c r="I86" s="32"/>
      <c r="J86" s="32"/>
    </row>
    <row r="87" spans="1:10" ht="16" x14ac:dyDescent="0.2">
      <c r="A87" s="32"/>
      <c r="B87" s="32"/>
      <c r="C87" s="32"/>
      <c r="D87" s="32"/>
      <c r="E87" s="32"/>
      <c r="F87" s="32"/>
      <c r="G87" s="32"/>
      <c r="H87" s="32"/>
      <c r="I87" s="32"/>
      <c r="J87" s="32"/>
    </row>
    <row r="88" spans="1:10" ht="16" x14ac:dyDescent="0.2">
      <c r="A88" s="32"/>
      <c r="B88" s="32"/>
      <c r="C88" s="32"/>
      <c r="D88" s="32"/>
      <c r="E88" s="32"/>
      <c r="F88" s="32"/>
      <c r="G88" s="32"/>
      <c r="H88" s="32"/>
      <c r="I88" s="32"/>
      <c r="J88" s="32"/>
    </row>
    <row r="89" spans="1:10" ht="16" x14ac:dyDescent="0.2">
      <c r="A89" s="32"/>
      <c r="B89" s="32"/>
      <c r="C89" s="32"/>
      <c r="D89" s="32"/>
      <c r="E89" s="32"/>
      <c r="F89" s="32"/>
      <c r="G89" s="32"/>
      <c r="H89" s="32"/>
      <c r="I89" s="32"/>
      <c r="J89" s="32"/>
    </row>
    <row r="90" spans="1:10" ht="16" x14ac:dyDescent="0.2">
      <c r="A90" s="32"/>
      <c r="B90" s="32"/>
      <c r="C90" s="32"/>
      <c r="D90" s="32"/>
      <c r="E90" s="32"/>
      <c r="F90" s="32"/>
      <c r="G90" s="32"/>
      <c r="H90" s="32"/>
      <c r="I90" s="32"/>
      <c r="J90" s="32"/>
    </row>
    <row r="91" spans="1:10" ht="16" x14ac:dyDescent="0.2">
      <c r="A91" s="32"/>
      <c r="B91" s="32"/>
      <c r="C91" s="32"/>
      <c r="D91" s="32"/>
      <c r="E91" s="32"/>
      <c r="F91" s="32"/>
      <c r="G91" s="32"/>
      <c r="H91" s="32"/>
      <c r="I91" s="32"/>
      <c r="J91" s="32"/>
    </row>
    <row r="92" spans="1:10" ht="16" x14ac:dyDescent="0.2">
      <c r="A92" s="32"/>
      <c r="B92" s="32"/>
      <c r="C92" s="32"/>
      <c r="D92" s="32"/>
      <c r="E92" s="32"/>
      <c r="F92" s="32"/>
      <c r="G92" s="32"/>
      <c r="H92" s="32"/>
      <c r="I92" s="32"/>
      <c r="J92" s="32"/>
    </row>
    <row r="93" spans="1:10" ht="16" x14ac:dyDescent="0.2">
      <c r="A93" s="32"/>
      <c r="B93" s="32"/>
      <c r="C93" s="32"/>
      <c r="D93" s="32"/>
      <c r="E93" s="32"/>
      <c r="F93" s="32"/>
      <c r="G93" s="32"/>
      <c r="H93" s="32"/>
      <c r="I93" s="32"/>
      <c r="J93" s="32"/>
    </row>
    <row r="94" spans="1:10" ht="16" x14ac:dyDescent="0.2">
      <c r="A94" s="32"/>
      <c r="B94" s="32"/>
      <c r="C94" s="32"/>
      <c r="D94" s="32"/>
      <c r="E94" s="32"/>
      <c r="F94" s="32"/>
      <c r="G94" s="32"/>
      <c r="H94" s="32"/>
      <c r="I94" s="32"/>
      <c r="J94" s="32"/>
    </row>
    <row r="95" spans="1:10" ht="16" x14ac:dyDescent="0.2">
      <c r="A95" s="32"/>
      <c r="B95" s="32"/>
      <c r="C95" s="32"/>
      <c r="D95" s="32"/>
      <c r="E95" s="32"/>
      <c r="F95" s="32"/>
      <c r="G95" s="32"/>
      <c r="H95" s="32"/>
      <c r="I95" s="32"/>
      <c r="J95" s="32"/>
    </row>
    <row r="96" spans="1:10" ht="16" x14ac:dyDescent="0.2">
      <c r="A96" s="32"/>
      <c r="B96" s="32"/>
      <c r="C96" s="32"/>
      <c r="D96" s="32"/>
      <c r="E96" s="32"/>
      <c r="F96" s="32"/>
      <c r="G96" s="32"/>
      <c r="H96" s="32"/>
      <c r="I96" s="32"/>
      <c r="J96" s="32"/>
    </row>
    <row r="97" spans="1:10" ht="16" x14ac:dyDescent="0.2">
      <c r="A97" s="32"/>
      <c r="B97" s="32"/>
      <c r="C97" s="32"/>
      <c r="D97" s="32"/>
      <c r="E97" s="32"/>
      <c r="F97" s="32"/>
      <c r="G97" s="32"/>
      <c r="H97" s="32"/>
      <c r="I97" s="32"/>
      <c r="J97" s="32"/>
    </row>
    <row r="98" spans="1:10" ht="16" x14ac:dyDescent="0.2">
      <c r="A98" s="32"/>
      <c r="B98" s="32"/>
      <c r="C98" s="32"/>
      <c r="D98" s="32"/>
      <c r="E98" s="32"/>
      <c r="F98" s="32"/>
      <c r="G98" s="32"/>
      <c r="H98" s="32"/>
      <c r="I98" s="32"/>
      <c r="J98" s="32"/>
    </row>
    <row r="99" spans="1:10" ht="16" x14ac:dyDescent="0.2">
      <c r="A99" s="32"/>
      <c r="B99" s="32"/>
      <c r="C99" s="32"/>
      <c r="D99" s="32"/>
      <c r="E99" s="32"/>
      <c r="F99" s="32"/>
      <c r="G99" s="32"/>
      <c r="H99" s="32"/>
      <c r="I99" s="32"/>
      <c r="J99" s="32"/>
    </row>
    <row r="100" spans="1:10" ht="16" x14ac:dyDescent="0.2">
      <c r="A100" s="32"/>
      <c r="B100" s="32"/>
      <c r="C100" s="32"/>
      <c r="D100" s="32"/>
      <c r="E100" s="32"/>
      <c r="F100" s="32"/>
      <c r="G100" s="32"/>
      <c r="H100" s="32"/>
      <c r="I100" s="32"/>
      <c r="J100" s="32"/>
    </row>
    <row r="101" spans="1:10" ht="16" x14ac:dyDescent="0.2">
      <c r="A101" s="32"/>
      <c r="B101" s="32"/>
      <c r="C101" s="32"/>
      <c r="D101" s="32"/>
      <c r="E101" s="32"/>
      <c r="F101" s="32"/>
      <c r="G101" s="32"/>
      <c r="H101" s="32"/>
      <c r="I101" s="32"/>
      <c r="J101" s="32"/>
    </row>
    <row r="102" spans="1:10" ht="16" x14ac:dyDescent="0.2">
      <c r="A102" s="32"/>
      <c r="B102" s="32"/>
      <c r="C102" s="32"/>
      <c r="D102" s="32"/>
      <c r="E102" s="32"/>
      <c r="F102" s="32"/>
      <c r="G102" s="32"/>
      <c r="H102" s="32"/>
      <c r="I102" s="32"/>
      <c r="J102" s="32"/>
    </row>
    <row r="103" spans="1:10" ht="16" x14ac:dyDescent="0.2">
      <c r="A103" s="32"/>
      <c r="B103" s="32"/>
      <c r="C103" s="32"/>
      <c r="D103" s="32"/>
      <c r="E103" s="32"/>
      <c r="F103" s="32"/>
      <c r="G103" s="32"/>
      <c r="H103" s="32"/>
      <c r="I103" s="32"/>
      <c r="J103" s="32"/>
    </row>
    <row r="104" spans="1:10" ht="16" x14ac:dyDescent="0.2">
      <c r="A104" s="32"/>
      <c r="B104" s="32"/>
      <c r="C104" s="32"/>
      <c r="D104" s="32"/>
      <c r="E104" s="32"/>
      <c r="F104" s="32"/>
      <c r="G104" s="32"/>
      <c r="H104" s="32"/>
      <c r="I104" s="32"/>
      <c r="J104" s="32"/>
    </row>
    <row r="105" spans="1:10" ht="16" x14ac:dyDescent="0.2">
      <c r="A105" s="32"/>
      <c r="B105" s="32"/>
      <c r="C105" s="32"/>
      <c r="D105" s="32"/>
      <c r="E105" s="32"/>
      <c r="F105" s="32"/>
      <c r="G105" s="32"/>
      <c r="H105" s="32"/>
      <c r="I105" s="32"/>
      <c r="J105" s="32"/>
    </row>
    <row r="106" spans="1:10" ht="16" x14ac:dyDescent="0.2">
      <c r="A106" s="32"/>
      <c r="B106" s="32"/>
      <c r="C106" s="32"/>
      <c r="D106" s="32"/>
      <c r="E106" s="32"/>
      <c r="F106" s="32"/>
      <c r="G106" s="32"/>
      <c r="H106" s="32"/>
      <c r="I106" s="32"/>
      <c r="J106" s="32"/>
    </row>
    <row r="107" spans="1:10" ht="16" x14ac:dyDescent="0.2">
      <c r="A107" s="32"/>
      <c r="B107" s="32"/>
      <c r="C107" s="32"/>
      <c r="D107" s="32"/>
      <c r="E107" s="32"/>
      <c r="F107" s="32"/>
      <c r="G107" s="32"/>
      <c r="H107" s="32"/>
      <c r="I107" s="32"/>
      <c r="J107" s="32"/>
    </row>
    <row r="108" spans="1:10" ht="16" x14ac:dyDescent="0.2">
      <c r="A108" s="32"/>
      <c r="B108" s="32"/>
      <c r="C108" s="32"/>
      <c r="D108" s="32"/>
      <c r="E108" s="32"/>
      <c r="F108" s="32"/>
      <c r="G108" s="32"/>
      <c r="H108" s="32"/>
      <c r="I108" s="32"/>
      <c r="J108" s="32"/>
    </row>
    <row r="109" spans="1:10" ht="16" x14ac:dyDescent="0.2">
      <c r="A109" s="32"/>
      <c r="B109" s="32"/>
      <c r="C109" s="32"/>
      <c r="D109" s="32"/>
      <c r="E109" s="32"/>
      <c r="F109" s="32"/>
      <c r="G109" s="32"/>
      <c r="H109" s="32"/>
      <c r="I109" s="32"/>
      <c r="J109" s="32"/>
    </row>
    <row r="110" spans="1:10" ht="16" x14ac:dyDescent="0.2">
      <c r="A110" s="32"/>
      <c r="B110" s="32"/>
      <c r="C110" s="32"/>
      <c r="D110" s="32"/>
      <c r="E110" s="32"/>
      <c r="F110" s="32"/>
      <c r="G110" s="32"/>
      <c r="H110" s="32"/>
      <c r="I110" s="32"/>
      <c r="J110" s="32"/>
    </row>
    <row r="111" spans="1:10" ht="16" x14ac:dyDescent="0.2">
      <c r="A111" s="32"/>
      <c r="B111" s="32"/>
      <c r="C111" s="32"/>
      <c r="D111" s="32"/>
      <c r="E111" s="32"/>
      <c r="F111" s="32"/>
      <c r="G111" s="32"/>
      <c r="H111" s="32"/>
      <c r="I111" s="32"/>
      <c r="J111" s="32"/>
    </row>
    <row r="112" spans="1:10" ht="16" x14ac:dyDescent="0.2">
      <c r="A112" s="32"/>
      <c r="B112" s="32"/>
      <c r="C112" s="32"/>
      <c r="D112" s="32"/>
      <c r="E112" s="32"/>
      <c r="F112" s="32"/>
      <c r="G112" s="32"/>
      <c r="H112" s="32"/>
      <c r="I112" s="32"/>
      <c r="J112" s="32"/>
    </row>
    <row r="113" spans="1:10" ht="16" x14ac:dyDescent="0.2">
      <c r="A113" s="32"/>
      <c r="B113" s="32"/>
      <c r="C113" s="32"/>
      <c r="D113" s="32"/>
      <c r="E113" s="32"/>
      <c r="F113" s="32"/>
      <c r="G113" s="32"/>
      <c r="H113" s="32"/>
      <c r="I113" s="32"/>
      <c r="J113" s="32"/>
    </row>
    <row r="114" spans="1:10" ht="16" x14ac:dyDescent="0.2">
      <c r="A114" s="32"/>
      <c r="B114" s="32"/>
      <c r="C114" s="32"/>
      <c r="D114" s="32"/>
      <c r="E114" s="32"/>
      <c r="F114" s="32"/>
      <c r="G114" s="32"/>
      <c r="H114" s="32"/>
      <c r="I114" s="32"/>
      <c r="J114" s="32"/>
    </row>
    <row r="115" spans="1:10" ht="16" x14ac:dyDescent="0.2">
      <c r="A115" s="32"/>
      <c r="B115" s="32"/>
      <c r="C115" s="32"/>
      <c r="D115" s="32"/>
      <c r="E115" s="32"/>
      <c r="F115" s="32"/>
      <c r="G115" s="32"/>
      <c r="H115" s="32"/>
      <c r="I115" s="32"/>
      <c r="J115" s="32"/>
    </row>
    <row r="116" spans="1:10" ht="16" x14ac:dyDescent="0.2">
      <c r="A116" s="32"/>
      <c r="B116" s="32"/>
      <c r="C116" s="32"/>
      <c r="D116" s="32"/>
      <c r="E116" s="32"/>
      <c r="F116" s="32"/>
      <c r="G116" s="32"/>
      <c r="H116" s="32"/>
      <c r="I116" s="32"/>
      <c r="J116" s="32"/>
    </row>
    <row r="117" spans="1:10" ht="16" x14ac:dyDescent="0.2">
      <c r="A117" s="32"/>
      <c r="B117" s="32"/>
      <c r="C117" s="32"/>
      <c r="D117" s="32"/>
      <c r="E117" s="32"/>
      <c r="F117" s="32"/>
      <c r="G117" s="32"/>
      <c r="H117" s="32"/>
      <c r="I117" s="32"/>
      <c r="J117" s="32"/>
    </row>
    <row r="118" spans="1:10" ht="16" x14ac:dyDescent="0.2">
      <c r="A118" s="32"/>
      <c r="B118" s="32"/>
      <c r="C118" s="32"/>
      <c r="D118" s="32"/>
      <c r="E118" s="32"/>
      <c r="F118" s="32"/>
      <c r="G118" s="32"/>
      <c r="H118" s="32"/>
      <c r="I118" s="32"/>
      <c r="J118" s="32"/>
    </row>
    <row r="119" spans="1:10" ht="16" x14ac:dyDescent="0.2">
      <c r="A119" s="32"/>
      <c r="B119" s="32"/>
      <c r="C119" s="32"/>
      <c r="D119" s="32"/>
      <c r="E119" s="32"/>
      <c r="F119" s="32"/>
      <c r="G119" s="32"/>
      <c r="H119" s="32"/>
      <c r="I119" s="32"/>
      <c r="J119" s="32"/>
    </row>
    <row r="120" spans="1:10" ht="16" x14ac:dyDescent="0.2">
      <c r="A120" s="32"/>
      <c r="B120" s="32"/>
      <c r="C120" s="32"/>
      <c r="D120" s="32"/>
      <c r="E120" s="32"/>
      <c r="F120" s="32"/>
      <c r="G120" s="32"/>
      <c r="H120" s="32"/>
      <c r="I120" s="32"/>
      <c r="J120" s="32"/>
    </row>
    <row r="121" spans="1:10" ht="16" x14ac:dyDescent="0.2">
      <c r="A121" s="32"/>
      <c r="B121" s="32"/>
      <c r="C121" s="32"/>
      <c r="D121" s="32"/>
      <c r="E121" s="32"/>
      <c r="F121" s="32"/>
      <c r="G121" s="32"/>
      <c r="H121" s="32"/>
      <c r="I121" s="32"/>
      <c r="J121" s="32"/>
    </row>
    <row r="122" spans="1:10" ht="16" x14ac:dyDescent="0.2">
      <c r="A122" s="32"/>
      <c r="B122" s="32"/>
      <c r="C122" s="32"/>
      <c r="D122" s="32"/>
      <c r="E122" s="32"/>
      <c r="F122" s="32"/>
      <c r="G122" s="32"/>
      <c r="H122" s="32"/>
      <c r="I122" s="32"/>
      <c r="J122" s="32"/>
    </row>
    <row r="123" spans="1:10" ht="16" x14ac:dyDescent="0.2">
      <c r="A123" s="32"/>
      <c r="B123" s="32"/>
      <c r="C123" s="32"/>
      <c r="D123" s="32"/>
      <c r="E123" s="32"/>
      <c r="F123" s="32"/>
      <c r="G123" s="32"/>
      <c r="H123" s="32"/>
      <c r="I123" s="32"/>
      <c r="J123" s="32"/>
    </row>
    <row r="124" spans="1:10" ht="16" x14ac:dyDescent="0.2">
      <c r="A124" s="32"/>
      <c r="B124" s="32"/>
      <c r="C124" s="32"/>
      <c r="D124" s="32"/>
      <c r="E124" s="32"/>
      <c r="F124" s="32"/>
      <c r="G124" s="32"/>
      <c r="H124" s="32"/>
      <c r="I124" s="32"/>
      <c r="J124" s="32"/>
    </row>
    <row r="125" spans="1:10" ht="16" x14ac:dyDescent="0.2">
      <c r="A125" s="32"/>
      <c r="B125" s="32"/>
      <c r="C125" s="32"/>
      <c r="D125" s="32"/>
      <c r="E125" s="32"/>
      <c r="F125" s="32"/>
      <c r="G125" s="32"/>
      <c r="H125" s="32"/>
      <c r="I125" s="32"/>
      <c r="J125" s="32"/>
    </row>
    <row r="126" spans="1:10" ht="16" x14ac:dyDescent="0.2">
      <c r="A126" s="32"/>
      <c r="B126" s="32"/>
      <c r="C126" s="32"/>
      <c r="D126" s="32"/>
      <c r="E126" s="32"/>
      <c r="F126" s="32"/>
      <c r="G126" s="32"/>
      <c r="H126" s="32"/>
      <c r="I126" s="32"/>
      <c r="J126" s="32"/>
    </row>
    <row r="127" spans="1:10" ht="16" x14ac:dyDescent="0.2">
      <c r="A127" s="32"/>
      <c r="B127" s="32"/>
      <c r="C127" s="32"/>
      <c r="D127" s="32"/>
      <c r="E127" s="32"/>
      <c r="F127" s="32"/>
      <c r="G127" s="32"/>
      <c r="H127" s="32"/>
      <c r="I127" s="32"/>
      <c r="J127" s="32"/>
    </row>
    <row r="128" spans="1:10" ht="16" x14ac:dyDescent="0.2">
      <c r="A128" s="32"/>
      <c r="B128" s="32"/>
      <c r="C128" s="32"/>
      <c r="D128" s="32"/>
      <c r="E128" s="32"/>
      <c r="F128" s="32"/>
      <c r="G128" s="32"/>
      <c r="H128" s="32"/>
      <c r="I128" s="32"/>
      <c r="J128" s="32"/>
    </row>
    <row r="129" spans="1:10" ht="16" x14ac:dyDescent="0.2">
      <c r="A129" s="32"/>
      <c r="B129" s="32"/>
      <c r="C129" s="32"/>
      <c r="D129" s="32"/>
      <c r="E129" s="32"/>
      <c r="F129" s="32"/>
      <c r="G129" s="32"/>
      <c r="H129" s="32"/>
      <c r="I129" s="32"/>
      <c r="J129" s="32"/>
    </row>
    <row r="130" spans="1:10" ht="16" x14ac:dyDescent="0.2">
      <c r="A130" s="32"/>
      <c r="B130" s="32"/>
      <c r="C130" s="32"/>
      <c r="D130" s="32"/>
      <c r="E130" s="32"/>
      <c r="F130" s="32"/>
      <c r="G130" s="32"/>
      <c r="H130" s="32"/>
      <c r="I130" s="32"/>
      <c r="J130" s="32"/>
    </row>
    <row r="131" spans="1:10" ht="16" x14ac:dyDescent="0.2">
      <c r="A131" s="32"/>
      <c r="B131" s="32"/>
      <c r="C131" s="32"/>
      <c r="D131" s="32"/>
      <c r="E131" s="32"/>
      <c r="F131" s="32"/>
      <c r="G131" s="32"/>
      <c r="H131" s="32"/>
      <c r="I131" s="32"/>
      <c r="J131" s="32"/>
    </row>
    <row r="132" spans="1:10" ht="16" x14ac:dyDescent="0.2">
      <c r="A132" s="32"/>
      <c r="B132" s="32"/>
      <c r="C132" s="32"/>
      <c r="D132" s="32"/>
      <c r="E132" s="32"/>
      <c r="F132" s="32"/>
      <c r="G132" s="32"/>
      <c r="H132" s="32"/>
      <c r="I132" s="32"/>
      <c r="J132" s="32"/>
    </row>
    <row r="133" spans="1:10" ht="16" x14ac:dyDescent="0.2">
      <c r="A133" s="32"/>
      <c r="B133" s="32"/>
      <c r="C133" s="32"/>
      <c r="D133" s="32"/>
      <c r="E133" s="32"/>
      <c r="F133" s="32"/>
      <c r="G133" s="32"/>
      <c r="H133" s="32"/>
      <c r="I133" s="32"/>
      <c r="J133" s="32"/>
    </row>
    <row r="134" spans="1:10" ht="16" x14ac:dyDescent="0.2">
      <c r="A134" s="32"/>
      <c r="B134" s="32"/>
      <c r="C134" s="32"/>
      <c r="D134" s="32"/>
      <c r="E134" s="32"/>
      <c r="F134" s="32"/>
      <c r="G134" s="32"/>
      <c r="H134" s="32"/>
      <c r="I134" s="32"/>
      <c r="J134" s="32"/>
    </row>
    <row r="135" spans="1:10" ht="16" x14ac:dyDescent="0.2">
      <c r="A135" s="32"/>
      <c r="B135" s="32"/>
      <c r="C135" s="32"/>
      <c r="D135" s="32"/>
      <c r="E135" s="32"/>
      <c r="F135" s="32"/>
      <c r="G135" s="32"/>
      <c r="H135" s="32"/>
      <c r="I135" s="32"/>
      <c r="J135" s="32"/>
    </row>
    <row r="136" spans="1:10" ht="16" x14ac:dyDescent="0.2">
      <c r="A136" s="32"/>
      <c r="B136" s="32"/>
      <c r="C136" s="32"/>
      <c r="D136" s="32"/>
      <c r="E136" s="32"/>
      <c r="F136" s="32"/>
      <c r="G136" s="32"/>
      <c r="H136" s="32"/>
      <c r="I136" s="32"/>
      <c r="J136" s="32"/>
    </row>
    <row r="137" spans="1:10" ht="16" x14ac:dyDescent="0.2">
      <c r="A137" s="32"/>
      <c r="B137" s="32"/>
      <c r="C137" s="32"/>
      <c r="D137" s="32"/>
      <c r="E137" s="32"/>
      <c r="F137" s="32"/>
      <c r="G137" s="32"/>
      <c r="H137" s="32"/>
      <c r="I137" s="32"/>
      <c r="J137" s="32"/>
    </row>
    <row r="138" spans="1:10" ht="16" x14ac:dyDescent="0.2">
      <c r="A138" s="32"/>
      <c r="B138" s="32"/>
      <c r="C138" s="32"/>
      <c r="D138" s="32"/>
      <c r="E138" s="32"/>
      <c r="F138" s="32"/>
      <c r="G138" s="32"/>
      <c r="H138" s="32"/>
      <c r="I138" s="32"/>
      <c r="J138" s="32"/>
    </row>
    <row r="139" spans="1:10" ht="16" x14ac:dyDescent="0.2">
      <c r="A139" s="32"/>
      <c r="B139" s="32"/>
      <c r="C139" s="32"/>
      <c r="D139" s="32"/>
      <c r="E139" s="32"/>
      <c r="F139" s="32"/>
      <c r="G139" s="32"/>
      <c r="H139" s="32"/>
      <c r="I139" s="32"/>
      <c r="J139" s="32"/>
    </row>
    <row r="140" spans="1:10" ht="16" x14ac:dyDescent="0.2">
      <c r="A140" s="32"/>
      <c r="B140" s="32"/>
      <c r="C140" s="32"/>
      <c r="D140" s="32"/>
      <c r="E140" s="32"/>
      <c r="F140" s="32"/>
      <c r="G140" s="32"/>
      <c r="H140" s="32"/>
      <c r="I140" s="32"/>
      <c r="J140" s="32"/>
    </row>
    <row r="141" spans="1:10" ht="16" x14ac:dyDescent="0.2">
      <c r="A141" s="32"/>
      <c r="B141" s="32"/>
      <c r="C141" s="32"/>
      <c r="D141" s="32"/>
      <c r="E141" s="32"/>
      <c r="F141" s="32"/>
      <c r="G141" s="32"/>
      <c r="H141" s="32"/>
      <c r="I141" s="32"/>
      <c r="J141" s="32"/>
    </row>
    <row r="142" spans="1:10" ht="16" x14ac:dyDescent="0.2">
      <c r="A142" s="32"/>
      <c r="B142" s="32"/>
      <c r="C142" s="32"/>
      <c r="D142" s="32"/>
      <c r="E142" s="32"/>
      <c r="F142" s="32"/>
      <c r="G142" s="32"/>
      <c r="H142" s="32"/>
      <c r="I142" s="32"/>
      <c r="J142" s="32"/>
    </row>
    <row r="143" spans="1:10" ht="16" x14ac:dyDescent="0.2">
      <c r="A143" s="32"/>
      <c r="B143" s="32"/>
      <c r="C143" s="32"/>
      <c r="D143" s="32"/>
      <c r="E143" s="32"/>
      <c r="F143" s="32"/>
      <c r="G143" s="32"/>
      <c r="H143" s="32"/>
      <c r="I143" s="32"/>
      <c r="J143" s="32"/>
    </row>
    <row r="144" spans="1:10" ht="16" x14ac:dyDescent="0.2">
      <c r="A144" s="32"/>
      <c r="B144" s="32"/>
      <c r="C144" s="32"/>
      <c r="D144" s="32"/>
      <c r="E144" s="32"/>
      <c r="F144" s="32"/>
      <c r="G144" s="32"/>
      <c r="H144" s="32"/>
      <c r="I144" s="32"/>
      <c r="J144" s="32"/>
    </row>
    <row r="145" spans="1:10" ht="16" x14ac:dyDescent="0.2">
      <c r="A145" s="32"/>
      <c r="B145" s="32"/>
      <c r="C145" s="32"/>
      <c r="D145" s="32"/>
      <c r="E145" s="32"/>
      <c r="F145" s="32"/>
      <c r="G145" s="32"/>
      <c r="H145" s="32"/>
      <c r="I145" s="32"/>
      <c r="J145" s="32"/>
    </row>
    <row r="146" spans="1:10" ht="16" x14ac:dyDescent="0.2">
      <c r="A146" s="32"/>
      <c r="B146" s="32"/>
      <c r="C146" s="32"/>
      <c r="D146" s="32"/>
      <c r="E146" s="32"/>
      <c r="F146" s="32"/>
      <c r="G146" s="32"/>
      <c r="H146" s="32"/>
      <c r="I146" s="32"/>
      <c r="J146" s="32"/>
    </row>
    <row r="147" spans="1:10" ht="16" x14ac:dyDescent="0.2">
      <c r="A147" s="32"/>
      <c r="B147" s="32"/>
      <c r="C147" s="32"/>
      <c r="D147" s="32"/>
      <c r="E147" s="32"/>
      <c r="F147" s="32"/>
      <c r="G147" s="32"/>
      <c r="H147" s="32"/>
      <c r="I147" s="32"/>
      <c r="J147" s="32"/>
    </row>
    <row r="148" spans="1:10" ht="16" x14ac:dyDescent="0.2">
      <c r="A148" s="32"/>
      <c r="B148" s="32"/>
      <c r="C148" s="32"/>
      <c r="D148" s="32"/>
      <c r="E148" s="32"/>
      <c r="F148" s="32"/>
      <c r="G148" s="32"/>
      <c r="H148" s="32"/>
      <c r="I148" s="32"/>
      <c r="J148" s="32"/>
    </row>
    <row r="149" spans="1:10" ht="16" x14ac:dyDescent="0.2">
      <c r="A149" s="32"/>
      <c r="B149" s="32"/>
      <c r="C149" s="32"/>
      <c r="D149" s="32"/>
      <c r="E149" s="32"/>
      <c r="F149" s="32"/>
      <c r="G149" s="32"/>
      <c r="H149" s="32"/>
      <c r="I149" s="32"/>
      <c r="J149" s="32"/>
    </row>
    <row r="150" spans="1:10" ht="16" x14ac:dyDescent="0.2">
      <c r="A150" s="32"/>
      <c r="B150" s="32"/>
      <c r="C150" s="32"/>
      <c r="D150" s="32"/>
      <c r="E150" s="32"/>
      <c r="F150" s="32"/>
      <c r="G150" s="32"/>
      <c r="H150" s="32"/>
      <c r="I150" s="32"/>
      <c r="J150" s="32"/>
    </row>
    <row r="151" spans="1:10" ht="16" x14ac:dyDescent="0.2">
      <c r="A151" s="32"/>
      <c r="B151" s="32"/>
      <c r="C151" s="32"/>
      <c r="D151" s="32"/>
      <c r="E151" s="32"/>
      <c r="F151" s="32"/>
      <c r="G151" s="32"/>
      <c r="H151" s="32"/>
      <c r="I151" s="32"/>
      <c r="J151" s="32"/>
    </row>
    <row r="152" spans="1:10" ht="16" x14ac:dyDescent="0.2">
      <c r="A152" s="32"/>
      <c r="B152" s="32"/>
      <c r="C152" s="32"/>
      <c r="D152" s="32"/>
      <c r="E152" s="32"/>
      <c r="F152" s="32"/>
      <c r="G152" s="32"/>
      <c r="H152" s="32"/>
      <c r="I152" s="32"/>
      <c r="J152" s="32"/>
    </row>
    <row r="153" spans="1:10" ht="16" x14ac:dyDescent="0.2">
      <c r="A153" s="32"/>
      <c r="B153" s="32"/>
      <c r="C153" s="32"/>
      <c r="D153" s="32"/>
      <c r="E153" s="32"/>
      <c r="F153" s="32"/>
      <c r="G153" s="32"/>
      <c r="H153" s="32"/>
      <c r="I153" s="32"/>
      <c r="J153" s="32"/>
    </row>
    <row r="154" spans="1:10" ht="16" x14ac:dyDescent="0.2">
      <c r="A154" s="32"/>
      <c r="B154" s="32"/>
      <c r="C154" s="32"/>
      <c r="D154" s="32"/>
      <c r="E154" s="32"/>
      <c r="F154" s="32"/>
      <c r="G154" s="32"/>
      <c r="H154" s="32"/>
      <c r="I154" s="32"/>
      <c r="J154" s="32"/>
    </row>
    <row r="155" spans="1:10" ht="16" x14ac:dyDescent="0.2">
      <c r="A155" s="32"/>
      <c r="B155" s="32"/>
      <c r="C155" s="32"/>
      <c r="D155" s="32"/>
      <c r="E155" s="32"/>
      <c r="F155" s="32"/>
      <c r="G155" s="32"/>
      <c r="H155" s="32"/>
      <c r="I155" s="32"/>
      <c r="J155" s="32"/>
    </row>
    <row r="156" spans="1:10" ht="16" x14ac:dyDescent="0.2">
      <c r="A156" s="32"/>
      <c r="B156" s="32"/>
      <c r="C156" s="32"/>
      <c r="D156" s="32"/>
      <c r="E156" s="32"/>
      <c r="F156" s="32"/>
      <c r="G156" s="32"/>
      <c r="H156" s="32"/>
      <c r="I156" s="32"/>
      <c r="J156" s="32"/>
    </row>
    <row r="157" spans="1:10" ht="16" x14ac:dyDescent="0.2">
      <c r="A157" s="32"/>
      <c r="B157" s="32"/>
      <c r="C157" s="32"/>
      <c r="D157" s="32"/>
      <c r="E157" s="32"/>
      <c r="F157" s="32"/>
      <c r="G157" s="32"/>
      <c r="H157" s="32"/>
      <c r="I157" s="32"/>
      <c r="J157" s="32"/>
    </row>
    <row r="158" spans="1:10" ht="16" x14ac:dyDescent="0.2">
      <c r="A158" s="32"/>
      <c r="B158" s="32"/>
      <c r="C158" s="32"/>
      <c r="D158" s="32"/>
      <c r="E158" s="32"/>
      <c r="F158" s="32"/>
      <c r="G158" s="32"/>
      <c r="H158" s="32"/>
      <c r="I158" s="32"/>
      <c r="J158" s="32"/>
    </row>
    <row r="159" spans="1:10" ht="16" x14ac:dyDescent="0.2">
      <c r="A159" s="32"/>
      <c r="B159" s="32"/>
      <c r="C159" s="32"/>
      <c r="D159" s="32"/>
      <c r="E159" s="32"/>
      <c r="F159" s="32"/>
      <c r="G159" s="32"/>
      <c r="H159" s="32"/>
      <c r="I159" s="32"/>
      <c r="J159" s="32"/>
    </row>
    <row r="160" spans="1:10" ht="16" x14ac:dyDescent="0.2">
      <c r="A160" s="32"/>
      <c r="B160" s="32"/>
      <c r="C160" s="32"/>
      <c r="D160" s="32"/>
      <c r="E160" s="32"/>
      <c r="F160" s="32"/>
      <c r="G160" s="32"/>
      <c r="H160" s="32"/>
      <c r="I160" s="32"/>
      <c r="J160" s="32"/>
    </row>
    <row r="161" spans="1:10" ht="16" x14ac:dyDescent="0.2">
      <c r="A161" s="32"/>
      <c r="B161" s="32"/>
      <c r="C161" s="32"/>
      <c r="D161" s="32"/>
      <c r="E161" s="32"/>
      <c r="F161" s="32"/>
      <c r="G161" s="32"/>
      <c r="H161" s="32"/>
      <c r="I161" s="32"/>
      <c r="J161" s="32"/>
    </row>
    <row r="162" spans="1:10" ht="16" x14ac:dyDescent="0.2">
      <c r="A162" s="32"/>
      <c r="B162" s="32"/>
      <c r="C162" s="32"/>
      <c r="D162" s="32"/>
      <c r="E162" s="32"/>
      <c r="F162" s="32"/>
      <c r="G162" s="32"/>
      <c r="H162" s="32"/>
      <c r="I162" s="32"/>
      <c r="J162" s="32"/>
    </row>
    <row r="163" spans="1:10" ht="16" x14ac:dyDescent="0.2">
      <c r="A163" s="32"/>
      <c r="B163" s="32"/>
      <c r="C163" s="32"/>
      <c r="D163" s="32"/>
      <c r="E163" s="32"/>
      <c r="F163" s="32"/>
      <c r="G163" s="32"/>
      <c r="H163" s="32"/>
      <c r="I163" s="32"/>
      <c r="J163" s="32"/>
    </row>
    <row r="164" spans="1:10" ht="16" x14ac:dyDescent="0.2">
      <c r="A164" s="32"/>
      <c r="B164" s="32"/>
      <c r="C164" s="32"/>
      <c r="D164" s="32"/>
      <c r="E164" s="32"/>
      <c r="F164" s="32"/>
      <c r="G164" s="32"/>
      <c r="H164" s="32"/>
      <c r="I164" s="32"/>
      <c r="J164" s="32"/>
    </row>
    <row r="165" spans="1:10" ht="16" x14ac:dyDescent="0.2">
      <c r="A165" s="32"/>
      <c r="B165" s="32"/>
      <c r="C165" s="32"/>
      <c r="D165" s="32"/>
      <c r="E165" s="32"/>
      <c r="F165" s="32"/>
      <c r="G165" s="32"/>
      <c r="H165" s="32"/>
      <c r="I165" s="32"/>
      <c r="J165" s="32"/>
    </row>
    <row r="166" spans="1:10" ht="16" x14ac:dyDescent="0.2">
      <c r="A166" s="32"/>
      <c r="B166" s="32"/>
      <c r="C166" s="32"/>
      <c r="D166" s="32"/>
      <c r="E166" s="32"/>
      <c r="F166" s="32"/>
      <c r="G166" s="32"/>
      <c r="H166" s="32"/>
      <c r="I166" s="32"/>
      <c r="J166" s="32"/>
    </row>
    <row r="167" spans="1:10" ht="16" x14ac:dyDescent="0.2">
      <c r="A167" s="32"/>
      <c r="B167" s="32"/>
      <c r="C167" s="32"/>
      <c r="D167" s="32"/>
      <c r="E167" s="32"/>
      <c r="F167" s="32"/>
      <c r="G167" s="32"/>
      <c r="H167" s="32"/>
      <c r="I167" s="32"/>
      <c r="J167" s="32"/>
    </row>
    <row r="168" spans="1:10" ht="16" x14ac:dyDescent="0.2">
      <c r="A168" s="32"/>
      <c r="B168" s="32"/>
      <c r="C168" s="32"/>
      <c r="D168" s="32"/>
      <c r="E168" s="32"/>
      <c r="F168" s="32"/>
      <c r="G168" s="32"/>
      <c r="H168" s="32"/>
      <c r="I168" s="32"/>
      <c r="J168" s="32"/>
    </row>
    <row r="169" spans="1:10" ht="16" x14ac:dyDescent="0.2">
      <c r="A169" s="32"/>
      <c r="B169" s="32"/>
      <c r="C169" s="32"/>
      <c r="D169" s="32"/>
      <c r="E169" s="32"/>
      <c r="F169" s="32"/>
      <c r="G169" s="32"/>
      <c r="H169" s="32"/>
      <c r="I169" s="32"/>
      <c r="J169" s="32"/>
    </row>
    <row r="170" spans="1:10" ht="16" x14ac:dyDescent="0.2">
      <c r="A170" s="32"/>
      <c r="B170" s="32"/>
      <c r="C170" s="32"/>
      <c r="D170" s="32"/>
      <c r="E170" s="32"/>
      <c r="F170" s="32"/>
      <c r="G170" s="32"/>
      <c r="H170" s="32"/>
      <c r="I170" s="32"/>
      <c r="J170" s="32"/>
    </row>
    <row r="171" spans="1:10" ht="16" x14ac:dyDescent="0.2">
      <c r="A171" s="32"/>
      <c r="B171" s="32"/>
      <c r="C171" s="32"/>
      <c r="D171" s="32"/>
      <c r="E171" s="32"/>
      <c r="F171" s="32"/>
      <c r="G171" s="32"/>
      <c r="H171" s="32"/>
      <c r="I171" s="32"/>
      <c r="J171" s="32"/>
    </row>
    <row r="172" spans="1:10" ht="16" x14ac:dyDescent="0.2">
      <c r="A172" s="32"/>
      <c r="B172" s="32"/>
      <c r="C172" s="32"/>
      <c r="D172" s="32"/>
      <c r="E172" s="32"/>
      <c r="F172" s="32"/>
      <c r="G172" s="32"/>
      <c r="H172" s="32"/>
      <c r="I172" s="32"/>
      <c r="J172" s="32"/>
    </row>
    <row r="173" spans="1:10" ht="16" x14ac:dyDescent="0.2">
      <c r="A173" s="32"/>
      <c r="B173" s="32"/>
      <c r="C173" s="32"/>
      <c r="D173" s="32"/>
      <c r="E173" s="32"/>
      <c r="F173" s="32"/>
      <c r="G173" s="32"/>
      <c r="H173" s="32"/>
      <c r="I173" s="32"/>
      <c r="J173" s="32"/>
    </row>
    <row r="174" spans="1:10" ht="16" x14ac:dyDescent="0.2">
      <c r="A174" s="32"/>
      <c r="B174" s="32"/>
      <c r="C174" s="32"/>
      <c r="D174" s="32"/>
      <c r="E174" s="32"/>
      <c r="F174" s="32"/>
      <c r="G174" s="32"/>
      <c r="H174" s="32"/>
      <c r="I174" s="32"/>
      <c r="J174" s="32"/>
    </row>
    <row r="175" spans="1:10" ht="16" x14ac:dyDescent="0.2">
      <c r="A175" s="32"/>
      <c r="B175" s="32"/>
      <c r="C175" s="32"/>
      <c r="D175" s="32"/>
      <c r="E175" s="32"/>
      <c r="F175" s="32"/>
      <c r="G175" s="32"/>
      <c r="H175" s="32"/>
      <c r="I175" s="32"/>
      <c r="J175" s="32"/>
    </row>
    <row r="176" spans="1:10" ht="16" x14ac:dyDescent="0.2">
      <c r="A176" s="32"/>
      <c r="B176" s="32"/>
      <c r="C176" s="32"/>
      <c r="D176" s="32"/>
      <c r="E176" s="32"/>
      <c r="F176" s="32"/>
      <c r="G176" s="32"/>
      <c r="H176" s="32"/>
      <c r="I176" s="32"/>
      <c r="J176" s="32"/>
    </row>
    <row r="177" spans="1:10" ht="16" x14ac:dyDescent="0.2">
      <c r="A177" s="32"/>
      <c r="B177" s="32"/>
      <c r="C177" s="32"/>
      <c r="D177" s="32"/>
      <c r="E177" s="32"/>
      <c r="F177" s="32"/>
      <c r="G177" s="32"/>
      <c r="H177" s="32"/>
      <c r="I177" s="32"/>
      <c r="J177" s="32"/>
    </row>
    <row r="178" spans="1:10" ht="16" x14ac:dyDescent="0.2">
      <c r="A178" s="32"/>
      <c r="B178" s="32"/>
      <c r="C178" s="32"/>
      <c r="D178" s="32"/>
      <c r="E178" s="32"/>
      <c r="F178" s="32"/>
      <c r="G178" s="32"/>
      <c r="H178" s="32"/>
      <c r="I178" s="32"/>
      <c r="J178" s="32"/>
    </row>
    <row r="179" spans="1:10" ht="16" x14ac:dyDescent="0.2">
      <c r="A179" s="32"/>
      <c r="B179" s="32"/>
      <c r="C179" s="32"/>
      <c r="D179" s="32"/>
      <c r="E179" s="32"/>
      <c r="F179" s="32"/>
      <c r="G179" s="32"/>
      <c r="H179" s="32"/>
      <c r="I179" s="32"/>
      <c r="J179" s="32"/>
    </row>
    <row r="180" spans="1:10" ht="16" x14ac:dyDescent="0.2">
      <c r="A180" s="32"/>
      <c r="B180" s="32"/>
      <c r="C180" s="32"/>
      <c r="D180" s="32"/>
      <c r="E180" s="32"/>
      <c r="F180" s="32"/>
      <c r="G180" s="32"/>
      <c r="H180" s="32"/>
      <c r="I180" s="32"/>
      <c r="J180" s="32"/>
    </row>
    <row r="181" spans="1:10" ht="16" x14ac:dyDescent="0.2">
      <c r="A181" s="32"/>
      <c r="B181" s="32"/>
      <c r="C181" s="32"/>
      <c r="D181" s="32"/>
      <c r="E181" s="32"/>
      <c r="F181" s="32"/>
      <c r="G181" s="32"/>
      <c r="H181" s="32"/>
      <c r="I181" s="32"/>
      <c r="J181" s="32"/>
    </row>
    <row r="182" spans="1:10" ht="16" x14ac:dyDescent="0.2">
      <c r="A182" s="32"/>
      <c r="B182" s="32"/>
      <c r="C182" s="32"/>
      <c r="D182" s="32"/>
      <c r="E182" s="32"/>
      <c r="F182" s="32"/>
      <c r="G182" s="32"/>
      <c r="H182" s="32"/>
      <c r="I182" s="32"/>
      <c r="J182" s="32"/>
    </row>
    <row r="183" spans="1:10" ht="16" x14ac:dyDescent="0.2">
      <c r="A183" s="32"/>
      <c r="B183" s="32"/>
      <c r="C183" s="32"/>
      <c r="D183" s="32"/>
      <c r="E183" s="32"/>
      <c r="F183" s="32"/>
      <c r="G183" s="32"/>
      <c r="H183" s="32"/>
      <c r="I183" s="32"/>
      <c r="J183" s="32"/>
    </row>
    <row r="184" spans="1:10" ht="16" x14ac:dyDescent="0.2">
      <c r="A184" s="32"/>
      <c r="B184" s="32"/>
      <c r="C184" s="32"/>
      <c r="D184" s="32"/>
      <c r="E184" s="32"/>
      <c r="F184" s="32"/>
      <c r="G184" s="32"/>
      <c r="H184" s="32"/>
      <c r="I184" s="32"/>
      <c r="J184" s="32"/>
    </row>
    <row r="185" spans="1:10" ht="16" x14ac:dyDescent="0.2">
      <c r="A185" s="32"/>
      <c r="B185" s="32"/>
      <c r="C185" s="32"/>
      <c r="D185" s="32"/>
      <c r="E185" s="32"/>
      <c r="F185" s="32"/>
      <c r="G185" s="32"/>
      <c r="H185" s="32"/>
      <c r="I185" s="32"/>
      <c r="J185" s="32"/>
    </row>
    <row r="186" spans="1:10" ht="16" x14ac:dyDescent="0.2">
      <c r="A186" s="32"/>
      <c r="B186" s="32"/>
      <c r="C186" s="32"/>
      <c r="D186" s="32"/>
      <c r="E186" s="32"/>
      <c r="F186" s="32"/>
      <c r="G186" s="32"/>
      <c r="H186" s="32"/>
      <c r="I186" s="32"/>
      <c r="J186" s="32"/>
    </row>
    <row r="187" spans="1:10" ht="16" x14ac:dyDescent="0.2">
      <c r="A187" s="32"/>
      <c r="B187" s="32"/>
      <c r="C187" s="32"/>
      <c r="D187" s="32"/>
      <c r="E187" s="32"/>
      <c r="F187" s="32"/>
      <c r="G187" s="32"/>
      <c r="H187" s="32"/>
      <c r="I187" s="32"/>
      <c r="J187" s="32"/>
    </row>
    <row r="188" spans="1:10" ht="16" x14ac:dyDescent="0.2">
      <c r="A188" s="32"/>
      <c r="B188" s="32"/>
      <c r="C188" s="32"/>
      <c r="D188" s="32"/>
      <c r="E188" s="32"/>
      <c r="F188" s="32"/>
      <c r="G188" s="32"/>
      <c r="H188" s="32"/>
      <c r="I188" s="32"/>
      <c r="J188" s="32"/>
    </row>
    <row r="189" spans="1:10" ht="16" x14ac:dyDescent="0.2">
      <c r="A189" s="32"/>
      <c r="B189" s="32"/>
      <c r="C189" s="32"/>
      <c r="D189" s="32"/>
      <c r="E189" s="32"/>
      <c r="F189" s="32"/>
      <c r="G189" s="32"/>
      <c r="H189" s="32"/>
      <c r="I189" s="32"/>
      <c r="J189" s="32"/>
    </row>
    <row r="190" spans="1:10" ht="16" x14ac:dyDescent="0.2">
      <c r="A190" s="32"/>
      <c r="B190" s="32"/>
      <c r="C190" s="32"/>
      <c r="D190" s="32"/>
      <c r="E190" s="32"/>
      <c r="F190" s="32"/>
      <c r="G190" s="32"/>
      <c r="H190" s="32"/>
      <c r="I190" s="32"/>
      <c r="J190" s="32"/>
    </row>
    <row r="191" spans="1:10" ht="16" x14ac:dyDescent="0.2">
      <c r="A191" s="32"/>
      <c r="B191" s="32"/>
      <c r="C191" s="32"/>
      <c r="D191" s="32"/>
      <c r="E191" s="32"/>
      <c r="F191" s="32"/>
      <c r="G191" s="32"/>
      <c r="H191" s="32"/>
      <c r="I191" s="32"/>
      <c r="J191" s="32"/>
    </row>
    <row r="192" spans="1:10" ht="16" x14ac:dyDescent="0.2">
      <c r="A192" s="32"/>
      <c r="B192" s="32"/>
      <c r="C192" s="32"/>
      <c r="D192" s="32"/>
      <c r="E192" s="32"/>
      <c r="F192" s="32"/>
      <c r="G192" s="32"/>
      <c r="H192" s="32"/>
      <c r="I192" s="32"/>
      <c r="J192" s="32"/>
    </row>
    <row r="193" spans="1:10" ht="16" x14ac:dyDescent="0.2">
      <c r="A193" s="32"/>
      <c r="B193" s="32"/>
      <c r="C193" s="32"/>
      <c r="D193" s="32"/>
      <c r="E193" s="32"/>
      <c r="F193" s="32"/>
      <c r="G193" s="32"/>
      <c r="H193" s="32"/>
      <c r="I193" s="32"/>
      <c r="J193" s="32"/>
    </row>
    <row r="194" spans="1:10" ht="16" x14ac:dyDescent="0.2">
      <c r="A194" s="32"/>
      <c r="B194" s="32"/>
      <c r="C194" s="32"/>
      <c r="D194" s="32"/>
      <c r="E194" s="32"/>
      <c r="F194" s="32"/>
      <c r="G194" s="32"/>
      <c r="H194" s="32"/>
      <c r="I194" s="32"/>
      <c r="J194" s="32"/>
    </row>
    <row r="195" spans="1:10" ht="16" x14ac:dyDescent="0.2">
      <c r="A195" s="32"/>
      <c r="B195" s="32"/>
      <c r="C195" s="32"/>
      <c r="D195" s="32"/>
      <c r="E195" s="32"/>
      <c r="F195" s="32"/>
      <c r="G195" s="32"/>
      <c r="H195" s="32"/>
      <c r="I195" s="32"/>
      <c r="J195" s="32"/>
    </row>
    <row r="196" spans="1:10" ht="16" x14ac:dyDescent="0.2">
      <c r="A196" s="32"/>
      <c r="B196" s="32"/>
      <c r="C196" s="32"/>
      <c r="D196" s="32"/>
      <c r="E196" s="32"/>
      <c r="F196" s="32"/>
      <c r="G196" s="32"/>
      <c r="H196" s="32"/>
      <c r="I196" s="32"/>
      <c r="J196" s="32"/>
    </row>
    <row r="197" spans="1:10" ht="16" x14ac:dyDescent="0.2">
      <c r="A197" s="32"/>
      <c r="B197" s="32"/>
      <c r="C197" s="32"/>
      <c r="D197" s="32"/>
      <c r="E197" s="32"/>
      <c r="F197" s="32"/>
      <c r="G197" s="32"/>
      <c r="H197" s="32"/>
      <c r="I197" s="32"/>
      <c r="J197" s="32"/>
    </row>
    <row r="198" spans="1:10" ht="16" x14ac:dyDescent="0.2">
      <c r="A198" s="32"/>
      <c r="B198" s="32"/>
      <c r="C198" s="32"/>
      <c r="D198" s="32"/>
      <c r="E198" s="32"/>
      <c r="F198" s="32"/>
      <c r="G198" s="32"/>
      <c r="H198" s="32"/>
      <c r="I198" s="32"/>
      <c r="J198" s="32"/>
    </row>
    <row r="199" spans="1:10" ht="16" x14ac:dyDescent="0.2">
      <c r="A199" s="32"/>
      <c r="B199" s="32"/>
      <c r="C199" s="32"/>
      <c r="D199" s="32"/>
      <c r="E199" s="32"/>
      <c r="F199" s="32"/>
      <c r="G199" s="32"/>
      <c r="H199" s="32"/>
      <c r="I199" s="32"/>
      <c r="J199" s="32"/>
    </row>
    <row r="200" spans="1:10" ht="16" x14ac:dyDescent="0.2">
      <c r="A200" s="32"/>
      <c r="B200" s="32"/>
      <c r="C200" s="32"/>
      <c r="D200" s="32"/>
      <c r="E200" s="32"/>
      <c r="F200" s="32"/>
      <c r="G200" s="32"/>
      <c r="H200" s="32"/>
      <c r="I200" s="32"/>
      <c r="J200" s="32"/>
    </row>
    <row r="201" spans="1:10" ht="16" x14ac:dyDescent="0.2">
      <c r="A201" s="32"/>
      <c r="B201" s="32"/>
      <c r="C201" s="32"/>
      <c r="D201" s="32"/>
      <c r="E201" s="32"/>
      <c r="F201" s="32"/>
      <c r="G201" s="32"/>
      <c r="H201" s="32"/>
      <c r="I201" s="32"/>
      <c r="J201" s="32"/>
    </row>
    <row r="202" spans="1:10" ht="16" x14ac:dyDescent="0.2">
      <c r="A202" s="32"/>
      <c r="B202" s="32"/>
      <c r="C202" s="32"/>
      <c r="D202" s="32"/>
      <c r="E202" s="32"/>
      <c r="F202" s="32"/>
      <c r="G202" s="32"/>
      <c r="H202" s="32"/>
      <c r="I202" s="32"/>
      <c r="J202" s="32"/>
    </row>
    <row r="203" spans="1:10" ht="16" x14ac:dyDescent="0.2">
      <c r="A203" s="32"/>
      <c r="B203" s="32"/>
      <c r="C203" s="32"/>
      <c r="D203" s="32"/>
      <c r="E203" s="32"/>
      <c r="F203" s="32"/>
      <c r="G203" s="32"/>
      <c r="H203" s="32"/>
      <c r="I203" s="32"/>
      <c r="J203" s="32"/>
    </row>
    <row r="204" spans="1:10" ht="16" x14ac:dyDescent="0.2">
      <c r="A204" s="32"/>
      <c r="B204" s="32"/>
      <c r="C204" s="32"/>
      <c r="D204" s="32"/>
      <c r="E204" s="32"/>
      <c r="F204" s="32"/>
      <c r="G204" s="32"/>
      <c r="H204" s="32"/>
      <c r="I204" s="32"/>
      <c r="J204" s="32"/>
    </row>
    <row r="205" spans="1:10" ht="16" x14ac:dyDescent="0.2">
      <c r="A205" s="32"/>
      <c r="B205" s="32"/>
      <c r="C205" s="32"/>
      <c r="D205" s="32"/>
      <c r="E205" s="32"/>
      <c r="F205" s="32"/>
      <c r="G205" s="32"/>
      <c r="H205" s="32"/>
      <c r="I205" s="32"/>
      <c r="J205" s="32"/>
    </row>
    <row r="206" spans="1:10" ht="16" x14ac:dyDescent="0.2">
      <c r="A206" s="32"/>
      <c r="B206" s="32"/>
      <c r="C206" s="32"/>
      <c r="D206" s="32"/>
      <c r="E206" s="32"/>
      <c r="F206" s="32"/>
      <c r="G206" s="32"/>
      <c r="H206" s="32"/>
      <c r="I206" s="32"/>
      <c r="J206" s="32"/>
    </row>
    <row r="207" spans="1:10" ht="16" x14ac:dyDescent="0.2">
      <c r="A207" s="32"/>
      <c r="B207" s="32"/>
      <c r="C207" s="32"/>
      <c r="D207" s="32"/>
      <c r="E207" s="32"/>
      <c r="F207" s="32"/>
      <c r="G207" s="32"/>
      <c r="H207" s="32"/>
      <c r="I207" s="32"/>
      <c r="J207" s="32"/>
    </row>
    <row r="208" spans="1:10" ht="16" x14ac:dyDescent="0.2">
      <c r="A208" s="32"/>
      <c r="B208" s="32"/>
      <c r="C208" s="32"/>
      <c r="D208" s="32"/>
      <c r="E208" s="32"/>
      <c r="F208" s="32"/>
      <c r="G208" s="32"/>
      <c r="H208" s="32"/>
      <c r="I208" s="32"/>
      <c r="J208" s="32"/>
    </row>
    <row r="209" spans="1:10" ht="16" x14ac:dyDescent="0.2">
      <c r="A209" s="32"/>
      <c r="B209" s="32"/>
      <c r="C209" s="32"/>
      <c r="D209" s="32"/>
      <c r="E209" s="32"/>
      <c r="F209" s="32"/>
      <c r="G209" s="32"/>
      <c r="H209" s="32"/>
      <c r="I209" s="32"/>
      <c r="J209" s="32"/>
    </row>
    <row r="210" spans="1:10" ht="16" x14ac:dyDescent="0.2">
      <c r="A210" s="32"/>
      <c r="B210" s="32"/>
      <c r="C210" s="32"/>
      <c r="D210" s="32"/>
      <c r="E210" s="32"/>
      <c r="F210" s="32"/>
      <c r="G210" s="32"/>
      <c r="H210" s="32"/>
      <c r="I210" s="32"/>
      <c r="J210" s="32"/>
    </row>
    <row r="211" spans="1:10" ht="16" x14ac:dyDescent="0.2">
      <c r="A211" s="32"/>
      <c r="B211" s="32"/>
      <c r="C211" s="32"/>
      <c r="D211" s="32"/>
      <c r="E211" s="32"/>
      <c r="F211" s="32"/>
      <c r="G211" s="32"/>
      <c r="H211" s="32"/>
      <c r="I211" s="32"/>
      <c r="J211" s="32"/>
    </row>
    <row r="212" spans="1:10" ht="16" x14ac:dyDescent="0.2">
      <c r="A212" s="32"/>
      <c r="B212" s="32"/>
      <c r="C212" s="32"/>
      <c r="D212" s="32"/>
      <c r="E212" s="32"/>
      <c r="F212" s="32"/>
      <c r="G212" s="32"/>
      <c r="H212" s="32"/>
      <c r="I212" s="32"/>
      <c r="J212" s="32"/>
    </row>
    <row r="213" spans="1:10" ht="16" x14ac:dyDescent="0.2">
      <c r="A213" s="32"/>
      <c r="B213" s="32"/>
      <c r="C213" s="32"/>
      <c r="D213" s="32"/>
      <c r="E213" s="32"/>
      <c r="F213" s="32"/>
      <c r="G213" s="32"/>
      <c r="H213" s="32"/>
      <c r="I213" s="32"/>
      <c r="J213" s="32"/>
    </row>
    <row r="214" spans="1:10" ht="16" x14ac:dyDescent="0.2">
      <c r="A214" s="32"/>
      <c r="B214" s="32"/>
      <c r="C214" s="32"/>
      <c r="D214" s="32"/>
      <c r="E214" s="32"/>
      <c r="F214" s="32"/>
      <c r="G214" s="32"/>
      <c r="H214" s="32"/>
      <c r="I214" s="32"/>
      <c r="J214" s="32"/>
    </row>
    <row r="215" spans="1:10" ht="16" x14ac:dyDescent="0.2">
      <c r="A215" s="32"/>
      <c r="B215" s="32"/>
      <c r="C215" s="32"/>
      <c r="D215" s="32"/>
      <c r="E215" s="32"/>
      <c r="F215" s="32"/>
      <c r="G215" s="32"/>
      <c r="H215" s="32"/>
      <c r="I215" s="32"/>
      <c r="J215" s="32"/>
    </row>
    <row r="216" spans="1:10" ht="16" x14ac:dyDescent="0.2">
      <c r="A216" s="32"/>
      <c r="B216" s="32"/>
      <c r="C216" s="32"/>
      <c r="D216" s="32"/>
      <c r="E216" s="32"/>
      <c r="F216" s="32"/>
      <c r="G216" s="32"/>
      <c r="H216" s="32"/>
      <c r="I216" s="32"/>
      <c r="J216" s="32"/>
    </row>
    <row r="217" spans="1:10" ht="16" x14ac:dyDescent="0.2">
      <c r="A217" s="32"/>
      <c r="B217" s="32"/>
      <c r="C217" s="32"/>
      <c r="D217" s="32"/>
      <c r="E217" s="32"/>
      <c r="F217" s="32"/>
      <c r="G217" s="32"/>
      <c r="H217" s="32"/>
      <c r="I217" s="32"/>
      <c r="J217" s="32"/>
    </row>
    <row r="218" spans="1:10" ht="16" x14ac:dyDescent="0.2">
      <c r="A218" s="32"/>
      <c r="B218" s="32"/>
      <c r="C218" s="32"/>
      <c r="D218" s="32"/>
      <c r="E218" s="32"/>
      <c r="F218" s="32"/>
      <c r="G218" s="32"/>
      <c r="H218" s="32"/>
      <c r="I218" s="32"/>
      <c r="J218" s="32"/>
    </row>
    <row r="219" spans="1:10" ht="16" x14ac:dyDescent="0.2">
      <c r="A219" s="32"/>
      <c r="B219" s="32"/>
      <c r="C219" s="32"/>
      <c r="D219" s="32"/>
      <c r="E219" s="32"/>
      <c r="F219" s="32"/>
      <c r="G219" s="32"/>
      <c r="H219" s="32"/>
      <c r="I219" s="32"/>
      <c r="J219" s="32"/>
    </row>
    <row r="220" spans="1:10" ht="16" x14ac:dyDescent="0.2">
      <c r="A220" s="32"/>
      <c r="B220" s="32"/>
      <c r="C220" s="32"/>
      <c r="D220" s="32"/>
      <c r="E220" s="32"/>
      <c r="F220" s="32"/>
      <c r="G220" s="32"/>
      <c r="H220" s="32"/>
      <c r="I220" s="32"/>
      <c r="J220" s="32"/>
    </row>
    <row r="221" spans="1:10" ht="16" x14ac:dyDescent="0.2">
      <c r="A221" s="32"/>
      <c r="B221" s="32"/>
      <c r="C221" s="32"/>
      <c r="D221" s="32"/>
      <c r="E221" s="32"/>
      <c r="F221" s="32"/>
      <c r="G221" s="32"/>
      <c r="H221" s="32"/>
      <c r="I221" s="32"/>
      <c r="J221" s="32"/>
    </row>
    <row r="222" spans="1:10" ht="16" x14ac:dyDescent="0.2">
      <c r="A222" s="32"/>
      <c r="B222" s="32"/>
      <c r="C222" s="32"/>
      <c r="D222" s="32"/>
      <c r="E222" s="32"/>
      <c r="F222" s="32"/>
      <c r="G222" s="32"/>
      <c r="H222" s="32"/>
      <c r="I222" s="32"/>
      <c r="J222" s="32"/>
    </row>
    <row r="223" spans="1:10" ht="16" x14ac:dyDescent="0.2">
      <c r="A223" s="32"/>
      <c r="B223" s="32"/>
      <c r="C223" s="32"/>
      <c r="D223" s="32"/>
      <c r="E223" s="32"/>
      <c r="F223" s="32"/>
      <c r="G223" s="32"/>
      <c r="H223" s="32"/>
      <c r="I223" s="32"/>
      <c r="J223" s="32"/>
    </row>
    <row r="224" spans="1:10" ht="16" x14ac:dyDescent="0.2">
      <c r="A224" s="32"/>
      <c r="B224" s="32"/>
      <c r="C224" s="32"/>
      <c r="D224" s="32"/>
      <c r="E224" s="32"/>
      <c r="F224" s="32"/>
      <c r="G224" s="32"/>
      <c r="H224" s="32"/>
      <c r="I224" s="32"/>
      <c r="J224" s="32"/>
    </row>
    <row r="225" spans="1:10" ht="16" x14ac:dyDescent="0.2">
      <c r="A225" s="32"/>
      <c r="B225" s="32"/>
      <c r="C225" s="32"/>
      <c r="D225" s="32"/>
      <c r="E225" s="32"/>
      <c r="F225" s="32"/>
      <c r="G225" s="32"/>
      <c r="H225" s="32"/>
      <c r="I225" s="32"/>
      <c r="J225" s="32"/>
    </row>
    <row r="226" spans="1:10" ht="16" x14ac:dyDescent="0.2">
      <c r="A226" s="32"/>
      <c r="B226" s="32"/>
      <c r="C226" s="32"/>
      <c r="D226" s="32"/>
      <c r="E226" s="32"/>
      <c r="F226" s="32"/>
      <c r="G226" s="32"/>
      <c r="H226" s="32"/>
      <c r="I226" s="32"/>
      <c r="J226" s="32"/>
    </row>
    <row r="227" spans="1:10" ht="16" x14ac:dyDescent="0.2">
      <c r="A227" s="32"/>
      <c r="B227" s="32"/>
      <c r="C227" s="32"/>
      <c r="D227" s="32"/>
      <c r="E227" s="32"/>
      <c r="F227" s="32"/>
      <c r="G227" s="32"/>
      <c r="H227" s="32"/>
      <c r="I227" s="32"/>
      <c r="J227" s="32"/>
    </row>
    <row r="228" spans="1:10" ht="16" x14ac:dyDescent="0.2">
      <c r="A228" s="32"/>
      <c r="B228" s="32"/>
      <c r="C228" s="32"/>
      <c r="D228" s="32"/>
      <c r="E228" s="32"/>
      <c r="F228" s="32"/>
      <c r="G228" s="32"/>
      <c r="H228" s="32"/>
      <c r="I228" s="32"/>
      <c r="J228" s="32"/>
    </row>
    <row r="229" spans="1:10" ht="16" x14ac:dyDescent="0.2">
      <c r="A229" s="32"/>
      <c r="B229" s="32"/>
      <c r="C229" s="32"/>
      <c r="D229" s="32"/>
      <c r="E229" s="32"/>
      <c r="F229" s="32"/>
      <c r="G229" s="32"/>
      <c r="H229" s="32"/>
      <c r="I229" s="32"/>
      <c r="J229" s="32"/>
    </row>
    <row r="230" spans="1:10" ht="16" x14ac:dyDescent="0.2">
      <c r="A230" s="32"/>
      <c r="B230" s="32"/>
      <c r="C230" s="32"/>
      <c r="D230" s="32"/>
      <c r="E230" s="32"/>
      <c r="F230" s="32"/>
      <c r="G230" s="32"/>
      <c r="H230" s="32"/>
      <c r="I230" s="32"/>
      <c r="J230" s="32"/>
    </row>
    <row r="231" spans="1:10" ht="16" x14ac:dyDescent="0.2">
      <c r="A231" s="32"/>
      <c r="B231" s="32"/>
      <c r="C231" s="32"/>
      <c r="D231" s="32"/>
      <c r="E231" s="32"/>
      <c r="F231" s="32"/>
      <c r="G231" s="32"/>
      <c r="H231" s="32"/>
      <c r="I231" s="32"/>
      <c r="J231" s="32"/>
    </row>
    <row r="232" spans="1:10" ht="16" x14ac:dyDescent="0.2">
      <c r="A232" s="32"/>
      <c r="B232" s="32"/>
      <c r="C232" s="32"/>
      <c r="D232" s="32"/>
      <c r="E232" s="32"/>
      <c r="F232" s="32"/>
      <c r="G232" s="32"/>
      <c r="H232" s="32"/>
      <c r="I232" s="32"/>
      <c r="J232" s="32"/>
    </row>
    <row r="233" spans="1:10" ht="16" x14ac:dyDescent="0.2">
      <c r="A233" s="32"/>
      <c r="B233" s="32"/>
      <c r="C233" s="32"/>
      <c r="D233" s="32"/>
      <c r="E233" s="32"/>
      <c r="F233" s="32"/>
      <c r="G233" s="32"/>
      <c r="H233" s="32"/>
      <c r="I233" s="32"/>
      <c r="J233" s="32"/>
    </row>
    <row r="234" spans="1:10" ht="16" x14ac:dyDescent="0.2">
      <c r="A234" s="32"/>
      <c r="B234" s="32"/>
      <c r="C234" s="32"/>
      <c r="D234" s="32"/>
      <c r="E234" s="32"/>
      <c r="F234" s="32"/>
      <c r="G234" s="32"/>
      <c r="H234" s="32"/>
      <c r="I234" s="32"/>
      <c r="J234" s="32"/>
    </row>
    <row r="235" spans="1:10" ht="16" x14ac:dyDescent="0.2">
      <c r="A235" s="32"/>
      <c r="B235" s="32"/>
      <c r="C235" s="32"/>
      <c r="D235" s="32"/>
      <c r="E235" s="32"/>
      <c r="F235" s="32"/>
      <c r="G235" s="32"/>
      <c r="H235" s="32"/>
      <c r="I235" s="32"/>
      <c r="J235" s="32"/>
    </row>
    <row r="236" spans="1:10" ht="16" x14ac:dyDescent="0.2">
      <c r="A236" s="32"/>
      <c r="B236" s="32"/>
      <c r="C236" s="32"/>
      <c r="D236" s="32"/>
      <c r="E236" s="32"/>
      <c r="F236" s="32"/>
      <c r="G236" s="32"/>
      <c r="H236" s="32"/>
      <c r="I236" s="32"/>
      <c r="J236" s="32"/>
    </row>
    <row r="237" spans="1:10" ht="16" x14ac:dyDescent="0.2">
      <c r="A237" s="32"/>
      <c r="B237" s="32"/>
      <c r="C237" s="32"/>
      <c r="D237" s="32"/>
      <c r="E237" s="32"/>
      <c r="F237" s="32"/>
      <c r="G237" s="32"/>
      <c r="H237" s="32"/>
      <c r="I237" s="32"/>
      <c r="J237" s="32"/>
    </row>
    <row r="238" spans="1:10" ht="16" x14ac:dyDescent="0.2">
      <c r="A238" s="32"/>
      <c r="B238" s="32"/>
      <c r="C238" s="32"/>
      <c r="D238" s="32"/>
      <c r="E238" s="32"/>
      <c r="F238" s="32"/>
      <c r="G238" s="32"/>
      <c r="H238" s="32"/>
      <c r="I238" s="32"/>
      <c r="J238" s="32"/>
    </row>
    <row r="239" spans="1:10" ht="16" x14ac:dyDescent="0.2">
      <c r="A239" s="32"/>
      <c r="B239" s="32"/>
      <c r="C239" s="32"/>
      <c r="D239" s="32"/>
      <c r="E239" s="32"/>
      <c r="F239" s="32"/>
      <c r="G239" s="32"/>
      <c r="H239" s="32"/>
      <c r="I239" s="32"/>
      <c r="J239" s="32"/>
    </row>
    <row r="240" spans="1:10" ht="16" x14ac:dyDescent="0.2">
      <c r="A240" s="32"/>
      <c r="B240" s="32"/>
      <c r="C240" s="32"/>
      <c r="D240" s="32"/>
      <c r="E240" s="32"/>
      <c r="F240" s="32"/>
      <c r="G240" s="32"/>
      <c r="H240" s="32"/>
      <c r="I240" s="32"/>
      <c r="J240" s="32"/>
    </row>
    <row r="241" spans="1:10" ht="16" x14ac:dyDescent="0.2">
      <c r="A241" s="32"/>
      <c r="B241" s="32"/>
      <c r="C241" s="32"/>
      <c r="D241" s="32"/>
      <c r="E241" s="32"/>
      <c r="F241" s="32"/>
      <c r="G241" s="32"/>
      <c r="H241" s="32"/>
      <c r="I241" s="32"/>
      <c r="J241" s="32"/>
    </row>
    <row r="242" spans="1:10" ht="16" x14ac:dyDescent="0.2">
      <c r="A242" s="32"/>
      <c r="B242" s="32"/>
      <c r="C242" s="32"/>
      <c r="D242" s="32"/>
      <c r="E242" s="32"/>
      <c r="F242" s="32"/>
      <c r="G242" s="32"/>
      <c r="H242" s="32"/>
      <c r="I242" s="32"/>
      <c r="J242" s="32"/>
    </row>
    <row r="243" spans="1:10" ht="16" x14ac:dyDescent="0.2">
      <c r="A243" s="32"/>
      <c r="B243" s="32"/>
      <c r="C243" s="32"/>
      <c r="D243" s="32"/>
      <c r="E243" s="32"/>
      <c r="F243" s="32"/>
      <c r="G243" s="32"/>
      <c r="H243" s="32"/>
      <c r="I243" s="32"/>
      <c r="J243" s="32"/>
    </row>
    <row r="244" spans="1:10" ht="16" x14ac:dyDescent="0.2">
      <c r="A244" s="32"/>
      <c r="B244" s="32"/>
      <c r="C244" s="32"/>
      <c r="D244" s="32"/>
      <c r="E244" s="32"/>
      <c r="F244" s="32"/>
      <c r="G244" s="32"/>
      <c r="H244" s="32"/>
      <c r="I244" s="32"/>
      <c r="J244" s="32"/>
    </row>
    <row r="245" spans="1:10" ht="16" x14ac:dyDescent="0.2">
      <c r="A245" s="32"/>
      <c r="B245" s="32"/>
      <c r="C245" s="32"/>
      <c r="D245" s="32"/>
      <c r="E245" s="32"/>
      <c r="F245" s="32"/>
      <c r="G245" s="32"/>
      <c r="H245" s="32"/>
      <c r="I245" s="32"/>
      <c r="J245" s="32"/>
    </row>
    <row r="246" spans="1:10" ht="16" x14ac:dyDescent="0.2">
      <c r="A246" s="32"/>
      <c r="B246" s="32"/>
      <c r="C246" s="32"/>
      <c r="D246" s="32"/>
      <c r="E246" s="32"/>
      <c r="F246" s="32"/>
      <c r="G246" s="32"/>
      <c r="H246" s="32"/>
      <c r="I246" s="32"/>
      <c r="J246" s="32"/>
    </row>
    <row r="247" spans="1:10" ht="16" x14ac:dyDescent="0.2">
      <c r="A247" s="32"/>
      <c r="B247" s="32"/>
      <c r="C247" s="32"/>
      <c r="D247" s="32"/>
      <c r="E247" s="32"/>
      <c r="F247" s="32"/>
      <c r="G247" s="32"/>
      <c r="H247" s="32"/>
      <c r="I247" s="32"/>
      <c r="J247" s="32"/>
    </row>
    <row r="248" spans="1:10" ht="16" x14ac:dyDescent="0.2">
      <c r="A248" s="32"/>
      <c r="B248" s="32"/>
      <c r="C248" s="32"/>
      <c r="D248" s="32"/>
      <c r="E248" s="32"/>
      <c r="F248" s="32"/>
      <c r="G248" s="32"/>
      <c r="H248" s="32"/>
      <c r="I248" s="32"/>
      <c r="J248" s="32"/>
    </row>
    <row r="249" spans="1:10" ht="16" x14ac:dyDescent="0.2">
      <c r="A249" s="32"/>
      <c r="B249" s="32"/>
      <c r="C249" s="32"/>
      <c r="D249" s="32"/>
      <c r="E249" s="32"/>
      <c r="F249" s="32"/>
      <c r="G249" s="32"/>
      <c r="H249" s="32"/>
      <c r="I249" s="32"/>
      <c r="J249" s="32"/>
    </row>
    <row r="250" spans="1:10" ht="16" x14ac:dyDescent="0.2">
      <c r="A250" s="32"/>
      <c r="B250" s="32"/>
      <c r="C250" s="32"/>
      <c r="D250" s="32"/>
      <c r="E250" s="32"/>
      <c r="F250" s="32"/>
      <c r="G250" s="32"/>
      <c r="H250" s="32"/>
      <c r="I250" s="32"/>
      <c r="J250" s="32"/>
    </row>
    <row r="251" spans="1:10" ht="16" x14ac:dyDescent="0.2">
      <c r="A251" s="32"/>
      <c r="B251" s="32"/>
      <c r="C251" s="32"/>
      <c r="D251" s="32"/>
      <c r="E251" s="32"/>
      <c r="F251" s="32"/>
      <c r="G251" s="32"/>
      <c r="H251" s="32"/>
      <c r="I251" s="32"/>
      <c r="J251" s="32"/>
    </row>
    <row r="252" spans="1:10" ht="16" x14ac:dyDescent="0.2">
      <c r="A252" s="32"/>
      <c r="B252" s="32"/>
      <c r="C252" s="32"/>
      <c r="D252" s="32"/>
      <c r="E252" s="32"/>
      <c r="F252" s="32"/>
      <c r="G252" s="32"/>
      <c r="H252" s="32"/>
      <c r="I252" s="32"/>
      <c r="J252" s="32"/>
    </row>
    <row r="253" spans="1:10" ht="16" x14ac:dyDescent="0.2">
      <c r="A253" s="32"/>
      <c r="B253" s="32"/>
      <c r="C253" s="32"/>
      <c r="D253" s="32"/>
      <c r="E253" s="32"/>
      <c r="F253" s="32"/>
      <c r="G253" s="32"/>
      <c r="H253" s="32"/>
      <c r="I253" s="32"/>
      <c r="J253" s="32"/>
    </row>
    <row r="254" spans="1:10" ht="16" x14ac:dyDescent="0.2">
      <c r="A254" s="32"/>
      <c r="B254" s="32"/>
      <c r="C254" s="32"/>
      <c r="D254" s="32"/>
      <c r="E254" s="32"/>
      <c r="F254" s="32"/>
      <c r="G254" s="32"/>
      <c r="H254" s="32"/>
      <c r="I254" s="32"/>
      <c r="J254" s="32"/>
    </row>
    <row r="255" spans="1:10" ht="16" x14ac:dyDescent="0.2">
      <c r="A255" s="32"/>
      <c r="B255" s="32"/>
      <c r="C255" s="32"/>
      <c r="D255" s="32"/>
      <c r="E255" s="32"/>
      <c r="F255" s="32"/>
      <c r="G255" s="32"/>
      <c r="H255" s="32"/>
      <c r="I255" s="32"/>
      <c r="J255" s="32"/>
    </row>
    <row r="256" spans="1:10" ht="16" x14ac:dyDescent="0.2">
      <c r="A256" s="32"/>
      <c r="B256" s="32"/>
      <c r="C256" s="32"/>
      <c r="D256" s="32"/>
      <c r="E256" s="32"/>
      <c r="F256" s="32"/>
      <c r="G256" s="32"/>
      <c r="H256" s="32"/>
      <c r="I256" s="32"/>
      <c r="J256" s="32"/>
    </row>
    <row r="257" spans="1:10" ht="16" x14ac:dyDescent="0.2">
      <c r="A257" s="32"/>
      <c r="B257" s="32"/>
      <c r="C257" s="32"/>
      <c r="D257" s="32"/>
      <c r="E257" s="32"/>
      <c r="F257" s="32"/>
      <c r="G257" s="32"/>
      <c r="H257" s="32"/>
      <c r="I257" s="32"/>
      <c r="J257" s="32"/>
    </row>
    <row r="258" spans="1:10" ht="16" x14ac:dyDescent="0.2">
      <c r="A258" s="32"/>
      <c r="B258" s="32"/>
      <c r="C258" s="32"/>
      <c r="D258" s="32"/>
      <c r="E258" s="32"/>
      <c r="F258" s="32"/>
      <c r="G258" s="32"/>
      <c r="H258" s="32"/>
      <c r="I258" s="32"/>
      <c r="J258" s="32"/>
    </row>
    <row r="259" spans="1:10" ht="16" x14ac:dyDescent="0.2">
      <c r="A259" s="32"/>
      <c r="B259" s="32"/>
      <c r="C259" s="32"/>
      <c r="D259" s="32"/>
      <c r="E259" s="32"/>
      <c r="F259" s="32"/>
      <c r="G259" s="32"/>
      <c r="H259" s="32"/>
      <c r="I259" s="32"/>
      <c r="J259" s="32"/>
    </row>
    <row r="260" spans="1:10" ht="16" x14ac:dyDescent="0.2">
      <c r="A260" s="32"/>
      <c r="B260" s="32"/>
      <c r="C260" s="32"/>
      <c r="D260" s="32"/>
      <c r="E260" s="32"/>
      <c r="F260" s="32"/>
      <c r="G260" s="32"/>
      <c r="H260" s="32"/>
      <c r="I260" s="32"/>
      <c r="J260" s="32"/>
    </row>
    <row r="261" spans="1:10" ht="16" x14ac:dyDescent="0.2">
      <c r="A261" s="32"/>
      <c r="B261" s="32"/>
      <c r="C261" s="32"/>
      <c r="D261" s="32"/>
      <c r="E261" s="32"/>
      <c r="F261" s="32"/>
      <c r="G261" s="32"/>
      <c r="H261" s="32"/>
      <c r="I261" s="32"/>
      <c r="J261" s="32"/>
    </row>
    <row r="262" spans="1:10" ht="16" x14ac:dyDescent="0.2">
      <c r="A262" s="32"/>
      <c r="B262" s="32"/>
      <c r="C262" s="32"/>
      <c r="D262" s="32"/>
      <c r="E262" s="32"/>
      <c r="F262" s="32"/>
      <c r="G262" s="32"/>
      <c r="H262" s="32"/>
      <c r="I262" s="32"/>
      <c r="J262" s="32"/>
    </row>
    <row r="263" spans="1:10" ht="16" x14ac:dyDescent="0.2">
      <c r="A263" s="32"/>
      <c r="B263" s="32"/>
      <c r="C263" s="32"/>
      <c r="D263" s="32"/>
      <c r="E263" s="32"/>
      <c r="F263" s="32"/>
      <c r="G263" s="32"/>
      <c r="H263" s="32"/>
      <c r="I263" s="32"/>
      <c r="J263" s="32"/>
    </row>
    <row r="264" spans="1:10" ht="16" x14ac:dyDescent="0.2">
      <c r="A264" s="32"/>
      <c r="B264" s="32"/>
      <c r="C264" s="32"/>
      <c r="D264" s="32"/>
      <c r="E264" s="32"/>
      <c r="F264" s="32"/>
      <c r="G264" s="32"/>
      <c r="H264" s="32"/>
      <c r="I264" s="32"/>
      <c r="J264" s="32"/>
    </row>
    <row r="265" spans="1:10" ht="16" x14ac:dyDescent="0.2">
      <c r="A265" s="32"/>
      <c r="B265" s="32"/>
      <c r="C265" s="32"/>
      <c r="D265" s="32"/>
      <c r="E265" s="32"/>
      <c r="F265" s="32"/>
      <c r="G265" s="32"/>
      <c r="H265" s="32"/>
      <c r="I265" s="32"/>
      <c r="J265" s="32"/>
    </row>
    <row r="266" spans="1:10" ht="16" x14ac:dyDescent="0.2">
      <c r="A266" s="32"/>
      <c r="B266" s="32"/>
      <c r="C266" s="32"/>
      <c r="D266" s="32"/>
      <c r="E266" s="32"/>
      <c r="F266" s="32"/>
      <c r="G266" s="32"/>
      <c r="H266" s="32"/>
      <c r="I266" s="32"/>
      <c r="J266" s="32"/>
    </row>
    <row r="267" spans="1:10" ht="16" x14ac:dyDescent="0.2">
      <c r="A267" s="32"/>
      <c r="B267" s="32"/>
      <c r="C267" s="32"/>
      <c r="D267" s="32"/>
      <c r="E267" s="32"/>
      <c r="F267" s="32"/>
      <c r="G267" s="32"/>
      <c r="H267" s="32"/>
      <c r="I267" s="32"/>
      <c r="J267" s="32"/>
    </row>
    <row r="268" spans="1:10" ht="16" x14ac:dyDescent="0.2">
      <c r="A268" s="32"/>
      <c r="B268" s="32"/>
      <c r="C268" s="32"/>
      <c r="D268" s="32"/>
      <c r="E268" s="32"/>
      <c r="F268" s="32"/>
      <c r="G268" s="32"/>
      <c r="H268" s="32"/>
      <c r="I268" s="32"/>
      <c r="J268" s="32"/>
    </row>
    <row r="269" spans="1:10" ht="16" x14ac:dyDescent="0.2">
      <c r="A269" s="32"/>
      <c r="B269" s="32"/>
      <c r="C269" s="32"/>
      <c r="D269" s="32"/>
      <c r="E269" s="32"/>
      <c r="F269" s="32"/>
      <c r="G269" s="32"/>
      <c r="H269" s="32"/>
      <c r="I269" s="32"/>
      <c r="J269" s="32"/>
    </row>
    <row r="270" spans="1:10" ht="16" x14ac:dyDescent="0.2">
      <c r="A270" s="32"/>
      <c r="B270" s="32"/>
      <c r="C270" s="32"/>
      <c r="D270" s="32"/>
      <c r="E270" s="32"/>
      <c r="F270" s="32"/>
      <c r="G270" s="32"/>
      <c r="H270" s="32"/>
      <c r="I270" s="32"/>
      <c r="J270" s="32"/>
    </row>
    <row r="271" spans="1:10" ht="16" x14ac:dyDescent="0.2">
      <c r="A271" s="32"/>
      <c r="B271" s="32"/>
      <c r="C271" s="32"/>
      <c r="D271" s="32"/>
      <c r="E271" s="32"/>
      <c r="F271" s="32"/>
      <c r="G271" s="32"/>
      <c r="H271" s="32"/>
      <c r="I271" s="32"/>
      <c r="J271" s="32"/>
    </row>
    <row r="272" spans="1:10" ht="16" x14ac:dyDescent="0.2">
      <c r="A272" s="32"/>
      <c r="B272" s="32"/>
      <c r="C272" s="32"/>
      <c r="D272" s="32"/>
      <c r="E272" s="32"/>
      <c r="F272" s="32"/>
      <c r="G272" s="32"/>
      <c r="H272" s="32"/>
      <c r="I272" s="32"/>
      <c r="J272" s="32"/>
    </row>
    <row r="273" spans="1:10" ht="16" x14ac:dyDescent="0.2">
      <c r="A273" s="32"/>
      <c r="B273" s="32"/>
      <c r="C273" s="32"/>
      <c r="D273" s="32"/>
      <c r="E273" s="32"/>
      <c r="F273" s="32"/>
      <c r="G273" s="32"/>
      <c r="H273" s="32"/>
      <c r="I273" s="32"/>
      <c r="J273" s="32"/>
    </row>
    <row r="274" spans="1:10" ht="16" x14ac:dyDescent="0.2">
      <c r="A274" s="32"/>
      <c r="B274" s="32"/>
      <c r="C274" s="32"/>
      <c r="D274" s="32"/>
      <c r="E274" s="32"/>
      <c r="F274" s="32"/>
      <c r="G274" s="32"/>
      <c r="H274" s="32"/>
      <c r="I274" s="32"/>
      <c r="J274" s="32"/>
    </row>
    <row r="275" spans="1:10" ht="16" x14ac:dyDescent="0.2">
      <c r="A275" s="32"/>
      <c r="B275" s="32"/>
      <c r="C275" s="32"/>
      <c r="D275" s="32"/>
      <c r="E275" s="32"/>
      <c r="F275" s="32"/>
      <c r="G275" s="32"/>
      <c r="H275" s="32"/>
      <c r="I275" s="32"/>
      <c r="J275" s="32"/>
    </row>
    <row r="276" spans="1:10" ht="16" x14ac:dyDescent="0.2">
      <c r="A276" s="32"/>
      <c r="B276" s="32"/>
      <c r="C276" s="32"/>
      <c r="D276" s="32"/>
      <c r="E276" s="32"/>
      <c r="F276" s="32"/>
      <c r="G276" s="32"/>
      <c r="H276" s="32"/>
      <c r="I276" s="32"/>
      <c r="J276" s="32"/>
    </row>
    <row r="277" spans="1:10" ht="16" x14ac:dyDescent="0.2">
      <c r="A277" s="32"/>
      <c r="B277" s="32"/>
      <c r="C277" s="32"/>
      <c r="D277" s="32"/>
      <c r="E277" s="32"/>
      <c r="F277" s="32"/>
      <c r="G277" s="32"/>
      <c r="H277" s="32"/>
      <c r="I277" s="32"/>
      <c r="J277" s="32"/>
    </row>
    <row r="278" spans="1:10" ht="16" x14ac:dyDescent="0.2">
      <c r="A278" s="32"/>
      <c r="B278" s="32"/>
      <c r="C278" s="32"/>
      <c r="D278" s="32"/>
      <c r="E278" s="32"/>
      <c r="F278" s="32"/>
      <c r="G278" s="32"/>
      <c r="H278" s="32"/>
      <c r="I278" s="32"/>
      <c r="J278" s="32"/>
    </row>
    <row r="279" spans="1:10" ht="16" x14ac:dyDescent="0.2">
      <c r="A279" s="32"/>
      <c r="B279" s="32"/>
      <c r="C279" s="32"/>
      <c r="D279" s="32"/>
      <c r="E279" s="32"/>
      <c r="F279" s="32"/>
      <c r="G279" s="32"/>
      <c r="H279" s="32"/>
      <c r="I279" s="32"/>
      <c r="J279" s="32"/>
    </row>
    <row r="280" spans="1:10" ht="16" x14ac:dyDescent="0.2">
      <c r="A280" s="32"/>
      <c r="B280" s="32"/>
      <c r="C280" s="32"/>
      <c r="D280" s="32"/>
      <c r="E280" s="32"/>
      <c r="F280" s="32"/>
      <c r="G280" s="32"/>
      <c r="H280" s="32"/>
      <c r="I280" s="32"/>
      <c r="J280" s="32"/>
    </row>
    <row r="281" spans="1:10" ht="16" x14ac:dyDescent="0.2">
      <c r="A281" s="32"/>
      <c r="B281" s="32"/>
      <c r="C281" s="32"/>
      <c r="D281" s="32"/>
      <c r="E281" s="32"/>
      <c r="F281" s="32"/>
      <c r="G281" s="32"/>
      <c r="H281" s="32"/>
      <c r="I281" s="32"/>
      <c r="J281" s="32"/>
    </row>
    <row r="282" spans="1:10" ht="16" x14ac:dyDescent="0.2">
      <c r="A282" s="32"/>
      <c r="B282" s="32"/>
      <c r="C282" s="32"/>
      <c r="D282" s="32"/>
      <c r="E282" s="32"/>
      <c r="F282" s="32"/>
      <c r="G282" s="32"/>
      <c r="H282" s="32"/>
      <c r="I282" s="32"/>
      <c r="J282" s="32"/>
    </row>
    <row r="283" spans="1:10" ht="16" x14ac:dyDescent="0.2">
      <c r="A283" s="32"/>
      <c r="B283" s="32"/>
      <c r="C283" s="32"/>
      <c r="D283" s="32"/>
      <c r="E283" s="32"/>
      <c r="F283" s="32"/>
      <c r="G283" s="32"/>
      <c r="H283" s="32"/>
      <c r="I283" s="32"/>
      <c r="J283" s="32"/>
    </row>
    <row r="284" spans="1:10" ht="16" x14ac:dyDescent="0.2">
      <c r="A284" s="32"/>
      <c r="B284" s="32"/>
      <c r="C284" s="32"/>
      <c r="D284" s="32"/>
      <c r="E284" s="32"/>
      <c r="F284" s="32"/>
      <c r="G284" s="32"/>
      <c r="H284" s="32"/>
      <c r="I284" s="32"/>
      <c r="J284" s="32"/>
    </row>
    <row r="285" spans="1:10" ht="16" x14ac:dyDescent="0.2">
      <c r="A285" s="32"/>
      <c r="B285" s="32"/>
      <c r="C285" s="32"/>
      <c r="D285" s="32"/>
      <c r="E285" s="32"/>
      <c r="F285" s="32"/>
      <c r="G285" s="32"/>
      <c r="H285" s="32"/>
      <c r="I285" s="32"/>
      <c r="J285" s="32"/>
    </row>
    <row r="286" spans="1:10" ht="16" x14ac:dyDescent="0.2">
      <c r="A286" s="32"/>
      <c r="B286" s="32"/>
      <c r="C286" s="32"/>
      <c r="D286" s="32"/>
      <c r="E286" s="32"/>
      <c r="F286" s="32"/>
      <c r="G286" s="32"/>
      <c r="H286" s="32"/>
      <c r="I286" s="32"/>
      <c r="J286" s="32"/>
    </row>
    <row r="287" spans="1:10" ht="16" x14ac:dyDescent="0.2">
      <c r="A287" s="32"/>
      <c r="B287" s="32"/>
      <c r="C287" s="32"/>
      <c r="D287" s="32"/>
      <c r="E287" s="32"/>
      <c r="F287" s="32"/>
      <c r="G287" s="32"/>
      <c r="H287" s="32"/>
      <c r="I287" s="32"/>
      <c r="J287" s="32"/>
    </row>
    <row r="288" spans="1:10" ht="16" x14ac:dyDescent="0.2">
      <c r="A288" s="32"/>
      <c r="B288" s="32"/>
      <c r="C288" s="32"/>
      <c r="D288" s="32"/>
      <c r="E288" s="32"/>
      <c r="F288" s="32"/>
      <c r="G288" s="32"/>
      <c r="H288" s="32"/>
      <c r="I288" s="32"/>
      <c r="J288" s="32"/>
    </row>
    <row r="289" spans="1:10" ht="16" x14ac:dyDescent="0.2">
      <c r="A289" s="32"/>
      <c r="B289" s="32"/>
      <c r="C289" s="32"/>
      <c r="D289" s="32"/>
      <c r="E289" s="32"/>
      <c r="F289" s="32"/>
      <c r="G289" s="32"/>
      <c r="H289" s="32"/>
      <c r="I289" s="32"/>
      <c r="J289" s="32"/>
    </row>
    <row r="290" spans="1:10" ht="16" x14ac:dyDescent="0.2">
      <c r="A290" s="32"/>
      <c r="B290" s="32"/>
      <c r="C290" s="32"/>
      <c r="D290" s="32"/>
      <c r="E290" s="32"/>
      <c r="F290" s="32"/>
      <c r="G290" s="32"/>
      <c r="H290" s="32"/>
      <c r="I290" s="32"/>
      <c r="J290" s="32"/>
    </row>
    <row r="291" spans="1:10" ht="16" x14ac:dyDescent="0.2">
      <c r="A291" s="32"/>
      <c r="B291" s="32"/>
      <c r="C291" s="32"/>
      <c r="D291" s="32"/>
      <c r="E291" s="32"/>
      <c r="F291" s="32"/>
      <c r="G291" s="32"/>
      <c r="H291" s="32"/>
      <c r="I291" s="32"/>
      <c r="J291" s="32"/>
    </row>
    <row r="292" spans="1:10" ht="16" x14ac:dyDescent="0.2">
      <c r="A292" s="32"/>
      <c r="B292" s="32"/>
      <c r="C292" s="32"/>
      <c r="D292" s="32"/>
      <c r="E292" s="32"/>
      <c r="F292" s="32"/>
      <c r="G292" s="32"/>
      <c r="H292" s="32"/>
      <c r="I292" s="32"/>
      <c r="J292" s="32"/>
    </row>
    <row r="293" spans="1:10" ht="16" x14ac:dyDescent="0.2">
      <c r="A293" s="32"/>
      <c r="B293" s="32"/>
      <c r="C293" s="32"/>
      <c r="D293" s="32"/>
      <c r="E293" s="32"/>
      <c r="F293" s="32"/>
      <c r="G293" s="32"/>
      <c r="H293" s="32"/>
      <c r="I293" s="32"/>
      <c r="J293" s="32"/>
    </row>
    <row r="294" spans="1:10" ht="16" x14ac:dyDescent="0.2">
      <c r="A294" s="32"/>
      <c r="B294" s="32"/>
      <c r="C294" s="32"/>
      <c r="D294" s="32"/>
      <c r="E294" s="32"/>
      <c r="F294" s="32"/>
      <c r="G294" s="32"/>
      <c r="H294" s="32"/>
      <c r="I294" s="32"/>
      <c r="J294" s="32"/>
    </row>
    <row r="295" spans="1:10" ht="16" x14ac:dyDescent="0.2">
      <c r="A295" s="32"/>
      <c r="B295" s="32"/>
      <c r="C295" s="32"/>
      <c r="D295" s="32"/>
      <c r="E295" s="32"/>
      <c r="F295" s="32"/>
      <c r="G295" s="32"/>
      <c r="H295" s="32"/>
      <c r="I295" s="32"/>
      <c r="J295" s="32"/>
    </row>
    <row r="296" spans="1:10" ht="16" x14ac:dyDescent="0.2">
      <c r="A296" s="32"/>
      <c r="B296" s="32"/>
      <c r="C296" s="32"/>
      <c r="D296" s="32"/>
      <c r="E296" s="32"/>
      <c r="F296" s="32"/>
      <c r="G296" s="32"/>
      <c r="H296" s="32"/>
      <c r="I296" s="32"/>
      <c r="J296" s="32"/>
    </row>
    <row r="297" spans="1:10" ht="16" x14ac:dyDescent="0.2">
      <c r="A297" s="32"/>
      <c r="B297" s="32"/>
      <c r="C297" s="32"/>
      <c r="D297" s="32"/>
      <c r="E297" s="32"/>
      <c r="F297" s="32"/>
      <c r="G297" s="32"/>
      <c r="H297" s="32"/>
      <c r="I297" s="32"/>
      <c r="J297" s="32"/>
    </row>
    <row r="298" spans="1:10" ht="16" x14ac:dyDescent="0.2">
      <c r="A298" s="32"/>
      <c r="B298" s="32"/>
      <c r="C298" s="32"/>
      <c r="D298" s="32"/>
      <c r="E298" s="32"/>
      <c r="F298" s="32"/>
      <c r="G298" s="32"/>
      <c r="H298" s="32"/>
      <c r="I298" s="32"/>
      <c r="J298" s="32"/>
    </row>
    <row r="299" spans="1:10" ht="16" x14ac:dyDescent="0.2">
      <c r="A299" s="32"/>
      <c r="B299" s="32"/>
      <c r="C299" s="32"/>
      <c r="D299" s="32"/>
      <c r="E299" s="32"/>
      <c r="F299" s="32"/>
      <c r="G299" s="32"/>
      <c r="H299" s="32"/>
      <c r="I299" s="32"/>
      <c r="J299" s="32"/>
    </row>
    <row r="300" spans="1:10" ht="16" x14ac:dyDescent="0.2">
      <c r="A300" s="32"/>
      <c r="B300" s="32"/>
      <c r="C300" s="32"/>
      <c r="D300" s="32"/>
      <c r="E300" s="32"/>
      <c r="F300" s="32"/>
      <c r="G300" s="32"/>
      <c r="H300" s="32"/>
      <c r="I300" s="32"/>
      <c r="J300" s="32"/>
    </row>
    <row r="301" spans="1:10" ht="16" x14ac:dyDescent="0.2">
      <c r="A301" s="32"/>
      <c r="B301" s="32"/>
      <c r="C301" s="32"/>
      <c r="D301" s="32"/>
      <c r="E301" s="32"/>
      <c r="F301" s="32"/>
      <c r="G301" s="32"/>
      <c r="H301" s="32"/>
      <c r="I301" s="32"/>
      <c r="J301" s="32"/>
    </row>
    <row r="302" spans="1:10" ht="16" x14ac:dyDescent="0.2">
      <c r="A302" s="32"/>
      <c r="B302" s="32"/>
      <c r="C302" s="32"/>
      <c r="D302" s="32"/>
      <c r="E302" s="32"/>
      <c r="F302" s="32"/>
      <c r="G302" s="32"/>
      <c r="H302" s="32"/>
      <c r="I302" s="32"/>
      <c r="J302" s="32"/>
    </row>
    <row r="303" spans="1:10" ht="16" x14ac:dyDescent="0.2">
      <c r="A303" s="32"/>
      <c r="B303" s="32"/>
      <c r="C303" s="32"/>
      <c r="D303" s="32"/>
      <c r="E303" s="32"/>
      <c r="F303" s="32"/>
      <c r="G303" s="32"/>
      <c r="H303" s="32"/>
      <c r="I303" s="32"/>
      <c r="J303" s="32"/>
    </row>
    <row r="304" spans="1:10" ht="16" x14ac:dyDescent="0.2">
      <c r="A304" s="32"/>
      <c r="B304" s="32"/>
      <c r="C304" s="32"/>
      <c r="D304" s="32"/>
      <c r="E304" s="32"/>
      <c r="F304" s="32"/>
      <c r="G304" s="32"/>
      <c r="H304" s="32"/>
      <c r="I304" s="32"/>
      <c r="J304" s="32"/>
    </row>
    <row r="305" spans="1:10" ht="16" x14ac:dyDescent="0.2">
      <c r="A305" s="32"/>
      <c r="B305" s="32"/>
      <c r="C305" s="32"/>
      <c r="D305" s="32"/>
      <c r="E305" s="32"/>
      <c r="F305" s="32"/>
      <c r="G305" s="32"/>
      <c r="H305" s="32"/>
      <c r="I305" s="32"/>
      <c r="J305" s="32"/>
    </row>
    <row r="306" spans="1:10" ht="16" x14ac:dyDescent="0.2">
      <c r="A306" s="32"/>
      <c r="B306" s="32"/>
      <c r="C306" s="32"/>
      <c r="D306" s="32"/>
      <c r="E306" s="32"/>
      <c r="F306" s="32"/>
      <c r="G306" s="32"/>
      <c r="H306" s="32"/>
      <c r="I306" s="32"/>
      <c r="J306" s="32"/>
    </row>
    <row r="307" spans="1:10" ht="16" x14ac:dyDescent="0.2">
      <c r="A307" s="32"/>
      <c r="B307" s="32"/>
      <c r="C307" s="32"/>
      <c r="D307" s="32"/>
      <c r="E307" s="32"/>
      <c r="F307" s="32"/>
      <c r="G307" s="32"/>
      <c r="H307" s="32"/>
      <c r="I307" s="32"/>
      <c r="J307" s="32"/>
    </row>
    <row r="308" spans="1:10" ht="16" x14ac:dyDescent="0.2">
      <c r="A308" s="32"/>
      <c r="B308" s="32"/>
      <c r="C308" s="32"/>
      <c r="D308" s="32"/>
      <c r="E308" s="32"/>
      <c r="F308" s="32"/>
      <c r="G308" s="32"/>
      <c r="H308" s="32"/>
      <c r="I308" s="32"/>
      <c r="J308" s="32"/>
    </row>
    <row r="309" spans="1:10" ht="16" x14ac:dyDescent="0.2">
      <c r="A309" s="32"/>
      <c r="B309" s="32"/>
      <c r="C309" s="32"/>
      <c r="D309" s="32"/>
      <c r="E309" s="32"/>
      <c r="F309" s="32"/>
      <c r="G309" s="32"/>
      <c r="H309" s="32"/>
      <c r="I309" s="32"/>
      <c r="J309" s="32"/>
    </row>
    <row r="310" spans="1:10" ht="16" x14ac:dyDescent="0.2">
      <c r="A310" s="32"/>
      <c r="B310" s="32"/>
      <c r="C310" s="32"/>
      <c r="D310" s="32"/>
      <c r="E310" s="32"/>
      <c r="F310" s="32"/>
      <c r="G310" s="32"/>
      <c r="H310" s="32"/>
      <c r="I310" s="32"/>
      <c r="J310" s="32"/>
    </row>
    <row r="311" spans="1:10" ht="16" x14ac:dyDescent="0.2">
      <c r="A311" s="32"/>
      <c r="B311" s="32"/>
      <c r="C311" s="32"/>
      <c r="D311" s="32"/>
      <c r="E311" s="32"/>
      <c r="F311" s="32"/>
      <c r="G311" s="32"/>
      <c r="H311" s="32"/>
      <c r="I311" s="32"/>
      <c r="J311" s="32"/>
    </row>
    <row r="312" spans="1:10" ht="16" x14ac:dyDescent="0.2">
      <c r="A312" s="32"/>
      <c r="B312" s="32"/>
      <c r="C312" s="32"/>
      <c r="D312" s="32"/>
      <c r="E312" s="32"/>
      <c r="F312" s="32"/>
      <c r="G312" s="32"/>
      <c r="H312" s="32"/>
      <c r="I312" s="32"/>
      <c r="J312" s="32"/>
    </row>
    <row r="313" spans="1:10" ht="16" x14ac:dyDescent="0.2">
      <c r="A313" s="32"/>
      <c r="B313" s="32"/>
      <c r="C313" s="32"/>
      <c r="D313" s="32"/>
      <c r="E313" s="32"/>
      <c r="F313" s="32"/>
      <c r="G313" s="32"/>
      <c r="H313" s="32"/>
      <c r="I313" s="32"/>
      <c r="J313" s="32"/>
    </row>
    <row r="314" spans="1:10" ht="16" x14ac:dyDescent="0.2">
      <c r="A314" s="32"/>
      <c r="B314" s="32"/>
      <c r="C314" s="32"/>
      <c r="D314" s="32"/>
      <c r="E314" s="32"/>
      <c r="F314" s="32"/>
      <c r="G314" s="32"/>
      <c r="H314" s="32"/>
      <c r="I314" s="32"/>
      <c r="J314" s="32"/>
    </row>
    <row r="315" spans="1:10" ht="16" x14ac:dyDescent="0.2">
      <c r="A315" s="32"/>
      <c r="B315" s="32"/>
      <c r="C315" s="32"/>
      <c r="D315" s="32"/>
      <c r="E315" s="32"/>
      <c r="F315" s="32"/>
      <c r="G315" s="32"/>
      <c r="H315" s="32"/>
      <c r="I315" s="32"/>
      <c r="J315" s="32"/>
    </row>
    <row r="316" spans="1:10" ht="16" x14ac:dyDescent="0.2">
      <c r="A316" s="32"/>
      <c r="B316" s="32"/>
      <c r="C316" s="32"/>
      <c r="D316" s="32"/>
      <c r="E316" s="32"/>
      <c r="F316" s="32"/>
      <c r="G316" s="32"/>
      <c r="H316" s="32"/>
      <c r="I316" s="32"/>
      <c r="J316" s="32"/>
    </row>
    <row r="317" spans="1:10" ht="16" x14ac:dyDescent="0.2">
      <c r="A317" s="32"/>
      <c r="B317" s="32"/>
      <c r="C317" s="32"/>
      <c r="D317" s="32"/>
      <c r="E317" s="32"/>
      <c r="F317" s="32"/>
      <c r="G317" s="32"/>
      <c r="H317" s="32"/>
      <c r="I317" s="32"/>
      <c r="J317" s="32"/>
    </row>
    <row r="318" spans="1:10" ht="16" x14ac:dyDescent="0.2">
      <c r="A318" s="32"/>
      <c r="B318" s="32"/>
      <c r="C318" s="32"/>
      <c r="D318" s="32"/>
      <c r="E318" s="32"/>
      <c r="F318" s="32"/>
      <c r="G318" s="32"/>
      <c r="H318" s="32"/>
      <c r="I318" s="32"/>
      <c r="J318" s="32"/>
    </row>
    <row r="319" spans="1:10" ht="16" x14ac:dyDescent="0.2">
      <c r="A319" s="32"/>
      <c r="B319" s="32"/>
      <c r="C319" s="32"/>
      <c r="D319" s="32"/>
      <c r="E319" s="32"/>
      <c r="F319" s="32"/>
      <c r="G319" s="32"/>
      <c r="H319" s="32"/>
      <c r="I319" s="32"/>
      <c r="J319" s="32"/>
    </row>
    <row r="320" spans="1:10" ht="16" x14ac:dyDescent="0.2">
      <c r="A320" s="32"/>
      <c r="B320" s="32"/>
      <c r="C320" s="32"/>
      <c r="D320" s="32"/>
      <c r="E320" s="32"/>
      <c r="F320" s="32"/>
      <c r="G320" s="32"/>
      <c r="H320" s="32"/>
      <c r="I320" s="32"/>
      <c r="J320" s="32"/>
    </row>
    <row r="321" spans="1:10" ht="16" x14ac:dyDescent="0.2">
      <c r="A321" s="32"/>
      <c r="B321" s="32"/>
      <c r="C321" s="32"/>
      <c r="D321" s="32"/>
      <c r="E321" s="32"/>
      <c r="F321" s="32"/>
      <c r="G321" s="32"/>
      <c r="H321" s="32"/>
      <c r="I321" s="32"/>
      <c r="J321" s="32"/>
    </row>
    <row r="322" spans="1:10" ht="16" x14ac:dyDescent="0.2">
      <c r="A322" s="32"/>
      <c r="B322" s="32"/>
      <c r="C322" s="32"/>
      <c r="D322" s="32"/>
      <c r="E322" s="32"/>
      <c r="F322" s="32"/>
      <c r="G322" s="32"/>
      <c r="H322" s="32"/>
      <c r="I322" s="32"/>
      <c r="J322" s="32"/>
    </row>
    <row r="323" spans="1:10" ht="16" x14ac:dyDescent="0.2">
      <c r="A323" s="32"/>
      <c r="B323" s="32"/>
      <c r="C323" s="32"/>
      <c r="D323" s="32"/>
      <c r="E323" s="32"/>
      <c r="F323" s="32"/>
      <c r="G323" s="32"/>
      <c r="H323" s="32"/>
      <c r="I323" s="32"/>
      <c r="J323" s="32"/>
    </row>
    <row r="324" spans="1:10" ht="16" x14ac:dyDescent="0.2">
      <c r="A324" s="32"/>
      <c r="B324" s="32"/>
      <c r="C324" s="32"/>
      <c r="D324" s="32"/>
      <c r="E324" s="32"/>
      <c r="F324" s="32"/>
      <c r="G324" s="32"/>
      <c r="H324" s="32"/>
      <c r="I324" s="32"/>
      <c r="J324" s="32"/>
    </row>
    <row r="325" spans="1:10" ht="16" x14ac:dyDescent="0.2">
      <c r="A325" s="32"/>
      <c r="B325" s="32"/>
      <c r="C325" s="32"/>
      <c r="D325" s="32"/>
      <c r="E325" s="32"/>
      <c r="F325" s="32"/>
      <c r="G325" s="32"/>
      <c r="H325" s="32"/>
      <c r="I325" s="32"/>
      <c r="J325" s="32"/>
    </row>
    <row r="326" spans="1:10" ht="16" x14ac:dyDescent="0.2">
      <c r="A326" s="32"/>
      <c r="B326" s="32"/>
      <c r="C326" s="32"/>
      <c r="D326" s="32"/>
      <c r="E326" s="32"/>
      <c r="F326" s="32"/>
      <c r="G326" s="32"/>
      <c r="H326" s="32"/>
      <c r="I326" s="32"/>
      <c r="J326" s="32"/>
    </row>
    <row r="327" spans="1:10" ht="16" x14ac:dyDescent="0.2">
      <c r="A327" s="32"/>
      <c r="B327" s="32"/>
      <c r="C327" s="32"/>
      <c r="D327" s="32"/>
      <c r="E327" s="32"/>
      <c r="F327" s="32"/>
      <c r="G327" s="32"/>
      <c r="H327" s="32"/>
      <c r="I327" s="32"/>
      <c r="J327" s="32"/>
    </row>
    <row r="328" spans="1:10" ht="16" x14ac:dyDescent="0.2">
      <c r="A328" s="32"/>
      <c r="B328" s="32"/>
      <c r="C328" s="32"/>
      <c r="D328" s="32"/>
      <c r="E328" s="32"/>
      <c r="F328" s="32"/>
      <c r="G328" s="32"/>
      <c r="H328" s="32"/>
      <c r="I328" s="32"/>
      <c r="J328" s="32"/>
    </row>
    <row r="329" spans="1:10" ht="16" x14ac:dyDescent="0.2">
      <c r="A329" s="32"/>
      <c r="B329" s="32"/>
      <c r="C329" s="32"/>
      <c r="D329" s="32"/>
      <c r="E329" s="32"/>
      <c r="F329" s="32"/>
      <c r="G329" s="32"/>
      <c r="H329" s="32"/>
      <c r="I329" s="32"/>
      <c r="J329" s="32"/>
    </row>
    <row r="330" spans="1:10" ht="16" x14ac:dyDescent="0.2">
      <c r="A330" s="32"/>
      <c r="B330" s="32"/>
      <c r="C330" s="32"/>
      <c r="D330" s="32"/>
      <c r="E330" s="32"/>
      <c r="F330" s="32"/>
      <c r="G330" s="32"/>
      <c r="H330" s="32"/>
      <c r="I330" s="32"/>
      <c r="J330" s="32"/>
    </row>
    <row r="331" spans="1:10" ht="16" x14ac:dyDescent="0.2">
      <c r="A331" s="32"/>
      <c r="B331" s="32"/>
      <c r="C331" s="32"/>
      <c r="D331" s="32"/>
      <c r="E331" s="32"/>
      <c r="F331" s="32"/>
      <c r="G331" s="32"/>
      <c r="H331" s="32"/>
      <c r="I331" s="32"/>
      <c r="J331" s="32"/>
    </row>
    <row r="332" spans="1:10" ht="16" x14ac:dyDescent="0.2">
      <c r="A332" s="32"/>
      <c r="B332" s="32"/>
      <c r="C332" s="32"/>
      <c r="D332" s="32"/>
      <c r="E332" s="32"/>
      <c r="F332" s="32"/>
      <c r="G332" s="32"/>
      <c r="H332" s="32"/>
      <c r="I332" s="32"/>
      <c r="J332" s="32"/>
    </row>
    <row r="333" spans="1:10" ht="16" x14ac:dyDescent="0.2">
      <c r="A333" s="32"/>
      <c r="B333" s="32"/>
      <c r="C333" s="32"/>
      <c r="D333" s="32"/>
      <c r="E333" s="32"/>
      <c r="F333" s="32"/>
      <c r="G333" s="32"/>
      <c r="H333" s="32"/>
      <c r="I333" s="32"/>
      <c r="J333" s="32"/>
    </row>
    <row r="334" spans="1:10" ht="16" x14ac:dyDescent="0.2">
      <c r="A334" s="32"/>
      <c r="B334" s="32"/>
      <c r="C334" s="32"/>
      <c r="D334" s="32"/>
      <c r="E334" s="32"/>
      <c r="F334" s="32"/>
      <c r="G334" s="32"/>
      <c r="H334" s="32"/>
      <c r="I334" s="32"/>
      <c r="J334" s="32"/>
    </row>
    <row r="335" spans="1:10" ht="16" x14ac:dyDescent="0.2">
      <c r="A335" s="32"/>
      <c r="B335" s="32"/>
      <c r="C335" s="32"/>
      <c r="D335" s="32"/>
      <c r="E335" s="32"/>
      <c r="F335" s="32"/>
      <c r="G335" s="32"/>
      <c r="H335" s="32"/>
      <c r="I335" s="32"/>
      <c r="J335" s="32"/>
    </row>
    <row r="336" spans="1:10" ht="16" x14ac:dyDescent="0.2">
      <c r="A336" s="32"/>
      <c r="B336" s="32"/>
      <c r="C336" s="32"/>
      <c r="D336" s="32"/>
      <c r="E336" s="32"/>
      <c r="F336" s="32"/>
      <c r="G336" s="32"/>
      <c r="H336" s="32"/>
      <c r="I336" s="32"/>
      <c r="J336" s="32"/>
    </row>
    <row r="337" spans="1:10" ht="16" x14ac:dyDescent="0.2">
      <c r="A337" s="32"/>
      <c r="B337" s="32"/>
      <c r="C337" s="32"/>
      <c r="D337" s="32"/>
      <c r="E337" s="32"/>
      <c r="F337" s="32"/>
      <c r="G337" s="32"/>
      <c r="H337" s="32"/>
      <c r="I337" s="32"/>
      <c r="J337" s="32"/>
    </row>
    <row r="338" spans="1:10" ht="16" x14ac:dyDescent="0.2">
      <c r="A338" s="32"/>
      <c r="B338" s="32"/>
      <c r="C338" s="32"/>
      <c r="D338" s="32"/>
      <c r="E338" s="32"/>
      <c r="F338" s="32"/>
      <c r="G338" s="32"/>
      <c r="H338" s="32"/>
      <c r="I338" s="32"/>
      <c r="J338" s="32"/>
    </row>
    <row r="339" spans="1:10" ht="16" x14ac:dyDescent="0.2">
      <c r="A339" s="32"/>
      <c r="B339" s="32"/>
      <c r="C339" s="32"/>
      <c r="D339" s="32"/>
      <c r="E339" s="32"/>
      <c r="F339" s="32"/>
      <c r="G339" s="32"/>
      <c r="H339" s="32"/>
      <c r="I339" s="32"/>
      <c r="J339" s="32"/>
    </row>
    <row r="340" spans="1:10" ht="16" x14ac:dyDescent="0.2">
      <c r="A340" s="32"/>
      <c r="B340" s="32"/>
      <c r="C340" s="32"/>
      <c r="D340" s="32"/>
      <c r="E340" s="32"/>
      <c r="F340" s="32"/>
      <c r="G340" s="32"/>
      <c r="H340" s="32"/>
      <c r="I340" s="32"/>
      <c r="J340" s="32"/>
    </row>
    <row r="341" spans="1:10" ht="16" x14ac:dyDescent="0.2">
      <c r="A341" s="32"/>
      <c r="B341" s="32"/>
      <c r="C341" s="32"/>
      <c r="D341" s="32"/>
      <c r="E341" s="32"/>
      <c r="F341" s="32"/>
      <c r="G341" s="32"/>
      <c r="H341" s="32"/>
      <c r="I341" s="32"/>
      <c r="J341" s="32"/>
    </row>
    <row r="342" spans="1:10" ht="16" x14ac:dyDescent="0.2">
      <c r="A342" s="32"/>
      <c r="B342" s="32"/>
      <c r="C342" s="32"/>
      <c r="D342" s="32"/>
      <c r="E342" s="32"/>
      <c r="F342" s="32"/>
      <c r="G342" s="32"/>
      <c r="H342" s="32"/>
      <c r="I342" s="32"/>
      <c r="J342" s="32"/>
    </row>
    <row r="343" spans="1:10" ht="16" x14ac:dyDescent="0.2">
      <c r="A343" s="32"/>
      <c r="B343" s="32"/>
      <c r="C343" s="32"/>
      <c r="D343" s="32"/>
      <c r="E343" s="32"/>
      <c r="F343" s="32"/>
      <c r="G343" s="32"/>
      <c r="H343" s="32"/>
      <c r="I343" s="32"/>
      <c r="J343" s="32"/>
    </row>
    <row r="344" spans="1:10" ht="16" x14ac:dyDescent="0.2">
      <c r="A344" s="32"/>
      <c r="B344" s="32"/>
      <c r="C344" s="32"/>
      <c r="D344" s="32"/>
      <c r="E344" s="32"/>
      <c r="F344" s="32"/>
      <c r="G344" s="32"/>
      <c r="H344" s="32"/>
      <c r="I344" s="32"/>
      <c r="J344" s="32"/>
    </row>
    <row r="345" spans="1:10" ht="16" x14ac:dyDescent="0.2">
      <c r="A345" s="32"/>
      <c r="B345" s="32"/>
      <c r="C345" s="32"/>
      <c r="D345" s="32"/>
      <c r="E345" s="32"/>
      <c r="F345" s="32"/>
      <c r="G345" s="32"/>
      <c r="H345" s="32"/>
      <c r="I345" s="32"/>
      <c r="J345" s="3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BW113"/>
  <sheetViews>
    <sheetView zoomScale="60" zoomScaleNormal="60" workbookViewId="0">
      <selection activeCell="O5" sqref="O5"/>
    </sheetView>
  </sheetViews>
  <sheetFormatPr baseColWidth="10" defaultColWidth="8.6640625" defaultRowHeight="15" x14ac:dyDescent="0.2"/>
  <cols>
    <col min="1" max="1" width="8.6640625" style="5"/>
    <col min="2" max="2" width="13.83203125" style="5" customWidth="1"/>
    <col min="3" max="4" width="8.6640625" style="5"/>
    <col min="5" max="5" width="12.33203125" style="5" customWidth="1"/>
    <col min="6" max="6" width="13.1640625" style="5" customWidth="1"/>
    <col min="7" max="10" width="8.6640625" style="5"/>
    <col min="11" max="11" width="29.33203125" style="5" customWidth="1"/>
    <col min="12" max="12" width="8.6640625" style="5"/>
    <col min="13" max="13" width="17.83203125" style="5" customWidth="1"/>
    <col min="14" max="14" width="12.33203125" style="5" bestFit="1" customWidth="1"/>
    <col min="15" max="19" width="8.6640625" style="5"/>
    <col min="20" max="20" width="12.33203125" style="5" bestFit="1" customWidth="1"/>
    <col min="21" max="25" width="8.6640625" style="5"/>
    <col min="26" max="26" width="10.5" style="5" bestFit="1" customWidth="1"/>
    <col min="27" max="31" width="8.6640625" style="5"/>
    <col min="32" max="32" width="10.5" style="5" bestFit="1" customWidth="1"/>
    <col min="33" max="34" width="8.6640625" style="5"/>
    <col min="35" max="35" width="10.1640625" style="5" bestFit="1" customWidth="1"/>
    <col min="36" max="36" width="8.6640625" style="5"/>
    <col min="37" max="37" width="9.6640625" style="5" bestFit="1" customWidth="1"/>
    <col min="38" max="40" width="8.6640625" style="5"/>
    <col min="41" max="41" width="10.5" style="5" bestFit="1" customWidth="1"/>
    <col min="42" max="46" width="8.6640625" style="5"/>
    <col min="47" max="47" width="10.5" style="5" bestFit="1" customWidth="1"/>
    <col min="48" max="52" width="8.6640625" style="5"/>
    <col min="53" max="53" width="10.5" style="5" bestFit="1" customWidth="1"/>
    <col min="54" max="55" width="8.6640625" style="5"/>
    <col min="56" max="56" width="10.5" style="5" bestFit="1" customWidth="1"/>
    <col min="57" max="61" width="8.6640625" style="5"/>
    <col min="62" max="62" width="9.5" style="5" bestFit="1" customWidth="1"/>
    <col min="63" max="67" width="8.6640625" style="5"/>
    <col min="68" max="68" width="9.5" style="5" bestFit="1" customWidth="1"/>
    <col min="69" max="73" width="8.6640625" style="5"/>
    <col min="74" max="74" width="10.83203125" style="5" customWidth="1"/>
    <col min="75" max="16384" width="8.6640625" style="5"/>
  </cols>
  <sheetData>
    <row r="1" spans="1:75" ht="16" x14ac:dyDescent="0.2">
      <c r="A1" s="63" t="s">
        <v>210</v>
      </c>
      <c r="B1" s="63"/>
      <c r="C1" s="63"/>
      <c r="D1" s="63"/>
      <c r="E1" s="63"/>
      <c r="F1" s="63"/>
      <c r="G1" s="63"/>
      <c r="H1" s="63"/>
      <c r="I1" s="63"/>
      <c r="J1" s="63"/>
      <c r="K1" s="6"/>
      <c r="L1" s="6"/>
      <c r="M1" s="6"/>
      <c r="N1" s="6"/>
      <c r="O1" s="6"/>
      <c r="P1" s="6"/>
      <c r="Q1" s="6"/>
      <c r="R1" s="6"/>
      <c r="S1" s="6"/>
      <c r="T1" s="6"/>
      <c r="U1" s="6"/>
      <c r="V1" s="6"/>
      <c r="W1" s="6"/>
      <c r="X1" s="6"/>
      <c r="Y1" s="6"/>
      <c r="Z1" s="6"/>
      <c r="AA1" s="6"/>
      <c r="AB1" s="6"/>
      <c r="AC1" s="6"/>
      <c r="AD1" s="6"/>
    </row>
    <row r="2" spans="1:75" ht="16" x14ac:dyDescent="0.2">
      <c r="A2" s="63"/>
      <c r="B2" s="63"/>
      <c r="C2" s="63"/>
      <c r="D2" s="63"/>
      <c r="E2" s="63"/>
      <c r="F2" s="63"/>
      <c r="G2" s="63"/>
      <c r="H2" s="63"/>
      <c r="I2" s="63"/>
      <c r="J2" s="63"/>
      <c r="K2" s="6"/>
      <c r="L2" s="6"/>
      <c r="M2" s="6"/>
      <c r="N2" s="6"/>
      <c r="O2" s="6"/>
      <c r="P2" s="6"/>
      <c r="Q2" s="6"/>
      <c r="R2" s="6"/>
      <c r="S2" s="6"/>
      <c r="T2" s="6"/>
      <c r="U2" s="6"/>
      <c r="V2" s="6"/>
      <c r="W2" s="6"/>
      <c r="X2" s="6"/>
      <c r="Y2" s="6"/>
      <c r="Z2" s="6"/>
      <c r="AA2" s="6"/>
      <c r="AB2" s="6"/>
      <c r="AC2" s="6"/>
      <c r="AD2" s="6"/>
    </row>
    <row r="3" spans="1:75" ht="17" thickBot="1" x14ac:dyDescent="0.25">
      <c r="A3" s="64" t="s">
        <v>211</v>
      </c>
      <c r="B3" s="61"/>
      <c r="C3" s="61"/>
      <c r="D3" s="61"/>
      <c r="E3" s="61"/>
      <c r="F3" s="61"/>
      <c r="G3" s="61"/>
      <c r="H3" s="61"/>
      <c r="I3" s="61"/>
      <c r="J3" s="61"/>
      <c r="L3" s="7" t="s">
        <v>164</v>
      </c>
    </row>
    <row r="4" spans="1:75" ht="65" thickBot="1" x14ac:dyDescent="0.25">
      <c r="A4" s="65" t="s">
        <v>115</v>
      </c>
      <c r="B4" s="62" t="s">
        <v>167</v>
      </c>
      <c r="C4" s="65" t="s">
        <v>172</v>
      </c>
      <c r="D4" s="72" t="s">
        <v>178</v>
      </c>
      <c r="E4" s="65" t="s">
        <v>209</v>
      </c>
      <c r="F4" s="72" t="s">
        <v>187</v>
      </c>
      <c r="G4" s="65" t="s">
        <v>171</v>
      </c>
      <c r="H4" s="72" t="s">
        <v>177</v>
      </c>
      <c r="I4" s="65" t="s">
        <v>181</v>
      </c>
      <c r="J4" s="61"/>
      <c r="L4" s="74" t="s">
        <v>115</v>
      </c>
      <c r="M4" s="11" t="s">
        <v>116</v>
      </c>
      <c r="N4" s="9" t="s">
        <v>117</v>
      </c>
      <c r="O4" s="9" t="s">
        <v>118</v>
      </c>
      <c r="P4" s="9" t="s">
        <v>119</v>
      </c>
      <c r="Q4" s="10" t="s">
        <v>120</v>
      </c>
      <c r="R4" s="8" t="s">
        <v>121</v>
      </c>
      <c r="S4" s="9" t="s">
        <v>122</v>
      </c>
      <c r="T4" s="9" t="s">
        <v>123</v>
      </c>
      <c r="U4" s="9" t="s">
        <v>124</v>
      </c>
      <c r="V4" s="10" t="s">
        <v>125</v>
      </c>
      <c r="W4" s="8" t="s">
        <v>126</v>
      </c>
      <c r="X4" s="9" t="s">
        <v>127</v>
      </c>
      <c r="Y4" s="9" t="s">
        <v>128</v>
      </c>
      <c r="Z4" s="9" t="s">
        <v>129</v>
      </c>
      <c r="AA4" s="10" t="s">
        <v>130</v>
      </c>
      <c r="AB4" s="11" t="s">
        <v>131</v>
      </c>
      <c r="AC4" s="9" t="s">
        <v>132</v>
      </c>
      <c r="AD4" s="9" t="s">
        <v>133</v>
      </c>
      <c r="AE4" s="9" t="s">
        <v>134</v>
      </c>
      <c r="AF4" s="9" t="s">
        <v>135</v>
      </c>
      <c r="AG4" s="10" t="s">
        <v>136</v>
      </c>
      <c r="AH4" s="8" t="s">
        <v>137</v>
      </c>
      <c r="AI4" s="9" t="s">
        <v>138</v>
      </c>
      <c r="AJ4" s="9" t="s">
        <v>139</v>
      </c>
      <c r="AK4" s="9" t="s">
        <v>140</v>
      </c>
      <c r="AL4" s="10" t="s">
        <v>141</v>
      </c>
      <c r="AM4" s="8" t="s">
        <v>142</v>
      </c>
      <c r="AN4" s="9" t="s">
        <v>143</v>
      </c>
      <c r="AO4" s="9" t="s">
        <v>144</v>
      </c>
      <c r="AP4" s="9" t="s">
        <v>145</v>
      </c>
      <c r="AQ4" s="10" t="s">
        <v>146</v>
      </c>
      <c r="AR4" s="8" t="s">
        <v>147</v>
      </c>
      <c r="AS4" s="9" t="s">
        <v>148</v>
      </c>
      <c r="AT4" s="9" t="s">
        <v>149</v>
      </c>
      <c r="AU4" s="9" t="s">
        <v>150</v>
      </c>
      <c r="AV4" s="10" t="s">
        <v>151</v>
      </c>
      <c r="AW4" s="11" t="s">
        <v>152</v>
      </c>
      <c r="AX4" s="9" t="s">
        <v>153</v>
      </c>
      <c r="AY4" s="9" t="s">
        <v>154</v>
      </c>
      <c r="AZ4" s="9" t="s">
        <v>155</v>
      </c>
      <c r="BA4" s="9" t="s">
        <v>156</v>
      </c>
      <c r="BB4" s="10" t="s">
        <v>157</v>
      </c>
      <c r="BC4" s="8" t="s">
        <v>76</v>
      </c>
      <c r="BD4" s="9" t="s">
        <v>77</v>
      </c>
      <c r="BE4" s="9" t="s">
        <v>78</v>
      </c>
      <c r="BF4" s="9" t="s">
        <v>79</v>
      </c>
      <c r="BG4" s="10" t="s">
        <v>80</v>
      </c>
      <c r="BH4" s="8" t="s">
        <v>81</v>
      </c>
      <c r="BI4" s="9" t="s">
        <v>82</v>
      </c>
      <c r="BJ4" s="9" t="s">
        <v>83</v>
      </c>
      <c r="BK4" s="9" t="s">
        <v>84</v>
      </c>
      <c r="BL4" s="10" t="s">
        <v>85</v>
      </c>
      <c r="BM4" s="8" t="s">
        <v>86</v>
      </c>
      <c r="BN4" s="9" t="s">
        <v>87</v>
      </c>
      <c r="BO4" s="9" t="s">
        <v>88</v>
      </c>
      <c r="BP4" s="9" t="s">
        <v>89</v>
      </c>
      <c r="BQ4" s="10" t="s">
        <v>90</v>
      </c>
      <c r="BR4" s="11" t="s">
        <v>91</v>
      </c>
      <c r="BS4" s="9" t="s">
        <v>92</v>
      </c>
      <c r="BT4" s="9" t="s">
        <v>93</v>
      </c>
      <c r="BU4" s="9" t="s">
        <v>94</v>
      </c>
      <c r="BV4" s="9" t="s">
        <v>95</v>
      </c>
      <c r="BW4" s="10" t="s">
        <v>96</v>
      </c>
    </row>
    <row r="5" spans="1:75" ht="17" thickBot="1" x14ac:dyDescent="0.25">
      <c r="A5" s="66" t="s">
        <v>162</v>
      </c>
      <c r="B5" s="63">
        <f t="array" ref="B5:B20">((N31:N46+O31:O46) +N31:N46)/2</f>
        <v>0.24213857142857145</v>
      </c>
      <c r="C5" s="70">
        <f t="array" ref="C5:C20">(S31:S46*2+T31:T46)/2</f>
        <v>5.2163571428571434E-2</v>
      </c>
      <c r="D5" s="63">
        <v>0.12019611111111113</v>
      </c>
      <c r="E5" s="70">
        <f t="array" ref="E5:E20">AC31:AC46</f>
        <v>1.3352380952380953E-3</v>
      </c>
      <c r="F5" s="63">
        <f t="array" ref="F5:F20">M31:M46</f>
        <v>0.59184142857142863</v>
      </c>
      <c r="G5" s="70">
        <f t="array" ref="G5:G20">(Q31:Q46+R31:R46)/2</f>
        <v>0.12170142857142857</v>
      </c>
      <c r="H5" s="63">
        <f t="array" ref="H5:H20">(W31:W46+2*U31:U46)/2</f>
        <v>0.29137350000000001</v>
      </c>
      <c r="I5" s="70">
        <f t="array" ref="I5:I20">(AB31:AB46+2*AA31:AA46)/2</f>
        <v>7.1309142857142863E-2</v>
      </c>
      <c r="J5" s="61"/>
      <c r="L5" s="74" t="s">
        <v>162</v>
      </c>
      <c r="M5" s="73">
        <v>0.59145199999999998</v>
      </c>
      <c r="N5" s="13">
        <v>0.13264633333333339</v>
      </c>
      <c r="O5" s="14">
        <v>0.20903799999999997</v>
      </c>
      <c r="P5" s="14">
        <v>6.6664000000000001E-2</v>
      </c>
      <c r="Q5" s="15">
        <v>0</v>
      </c>
      <c r="R5" s="12">
        <v>0.17660799999999999</v>
      </c>
      <c r="S5" s="14">
        <v>2.2391999999999999E-2</v>
      </c>
      <c r="T5" s="13">
        <v>0.73117633333333332</v>
      </c>
      <c r="U5" s="14">
        <v>3.4812000000000003E-2</v>
      </c>
      <c r="V5" s="15">
        <v>3.4812000000000003E-2</v>
      </c>
      <c r="W5" s="12">
        <v>0.24519100000000002</v>
      </c>
      <c r="X5" s="14">
        <v>2.6141000000000001E-2</v>
      </c>
      <c r="Y5" s="14">
        <v>9.1818999999999998E-2</v>
      </c>
      <c r="Z5" s="13">
        <v>0.50452233333333341</v>
      </c>
      <c r="AA5" s="15">
        <v>0.13212699999999999</v>
      </c>
      <c r="AB5" s="16">
        <v>0</v>
      </c>
      <c r="AC5" s="17">
        <v>0</v>
      </c>
      <c r="AD5" s="17">
        <v>5.2525999999999996E-2</v>
      </c>
      <c r="AE5" s="17">
        <v>3.7418E-2</v>
      </c>
      <c r="AF5" s="18">
        <v>0.90851966666666673</v>
      </c>
      <c r="AG5" s="19">
        <v>1.3366666666666666E-3</v>
      </c>
      <c r="AH5" s="12">
        <v>0.59281499999999998</v>
      </c>
      <c r="AI5" s="13">
        <v>0.13221333333333338</v>
      </c>
      <c r="AJ5" s="14">
        <v>0.20834800000000001</v>
      </c>
      <c r="AK5" s="14">
        <v>6.6423999999999997E-2</v>
      </c>
      <c r="AL5" s="15">
        <v>0</v>
      </c>
      <c r="AM5" s="12">
        <v>0.17720499999999997</v>
      </c>
      <c r="AN5" s="14">
        <v>2.2474000000000004E-2</v>
      </c>
      <c r="AO5" s="13">
        <v>0.73075133333333342</v>
      </c>
      <c r="AP5" s="14">
        <v>3.4685000000000001E-2</v>
      </c>
      <c r="AQ5" s="15">
        <v>3.4685000000000001E-2</v>
      </c>
      <c r="AR5" s="12">
        <v>0.24598299999999998</v>
      </c>
      <c r="AS5" s="14">
        <v>2.6237E-2</v>
      </c>
      <c r="AT5" s="14">
        <v>9.2146000000000006E-2</v>
      </c>
      <c r="AU5" s="13">
        <v>0.50376433333333337</v>
      </c>
      <c r="AV5" s="15">
        <v>0.13167000000000001</v>
      </c>
      <c r="AW5" s="16">
        <v>0</v>
      </c>
      <c r="AX5" s="17">
        <v>0</v>
      </c>
      <c r="AY5" s="17">
        <v>5.2716999999999993E-2</v>
      </c>
      <c r="AZ5" s="17">
        <v>3.7554999999999998E-2</v>
      </c>
      <c r="BA5" s="18">
        <v>0.90819666666666665</v>
      </c>
      <c r="BB5" s="19">
        <v>1.3316666666666668E-3</v>
      </c>
      <c r="BC5" s="12">
        <v>0.78637999999999997</v>
      </c>
      <c r="BD5" s="13">
        <v>4.7047333333333406E-2</v>
      </c>
      <c r="BE5" s="14">
        <v>0.12715399999999999</v>
      </c>
      <c r="BF5" s="14">
        <v>3.9218999999999997E-2</v>
      </c>
      <c r="BG5" s="15">
        <v>0</v>
      </c>
      <c r="BH5" s="12">
        <v>0.284721</v>
      </c>
      <c r="BI5" s="14">
        <v>3.8297999999999999E-2</v>
      </c>
      <c r="BJ5" s="13">
        <v>0.63610333333333335</v>
      </c>
      <c r="BK5" s="14">
        <v>2.0338999999999999E-2</v>
      </c>
      <c r="BL5" s="15">
        <v>2.0338999999999999E-2</v>
      </c>
      <c r="BM5" s="12">
        <v>0.38433199999999995</v>
      </c>
      <c r="BN5" s="14">
        <v>4.4648E-2</v>
      </c>
      <c r="BO5" s="14">
        <v>0.15301799999999999</v>
      </c>
      <c r="BP5" s="13">
        <v>0.33890733333333328</v>
      </c>
      <c r="BQ5" s="15">
        <v>7.8895000000000007E-2</v>
      </c>
      <c r="BR5" s="16">
        <v>0</v>
      </c>
      <c r="BS5" s="17">
        <v>0</v>
      </c>
      <c r="BT5" s="17">
        <v>8.8842000000000018E-2</v>
      </c>
      <c r="BU5" s="17">
        <v>6.3644999999999993E-2</v>
      </c>
      <c r="BV5" s="18">
        <v>0.84655800000000003</v>
      </c>
      <c r="BW5" s="19">
        <v>7.5533333333333323E-4</v>
      </c>
    </row>
    <row r="6" spans="1:75" ht="17" thickBot="1" x14ac:dyDescent="0.25">
      <c r="A6" s="68" t="s">
        <v>163</v>
      </c>
      <c r="B6" s="63">
        <v>0.24213857142857145</v>
      </c>
      <c r="C6" s="70">
        <v>5.2163571428571434E-2</v>
      </c>
      <c r="D6" s="63">
        <v>0.12019611111111113</v>
      </c>
      <c r="E6" s="70">
        <v>1.3352380952380953E-3</v>
      </c>
      <c r="F6" s="63">
        <v>0.59184142857142863</v>
      </c>
      <c r="G6" s="70">
        <v>0.12170142857142857</v>
      </c>
      <c r="H6" s="63">
        <v>0.29137350000000001</v>
      </c>
      <c r="I6" s="70">
        <v>7.1309142857142863E-2</v>
      </c>
      <c r="J6" s="61"/>
      <c r="L6" s="75" t="s">
        <v>163</v>
      </c>
      <c r="M6" s="73">
        <v>0.59145199999999998</v>
      </c>
      <c r="N6" s="13">
        <v>0.13264633333333339</v>
      </c>
      <c r="O6" s="14">
        <v>0.20903799999999997</v>
      </c>
      <c r="P6" s="14">
        <v>6.6664000000000001E-2</v>
      </c>
      <c r="Q6" s="15">
        <v>0</v>
      </c>
      <c r="R6" s="12">
        <v>0.17660799999999999</v>
      </c>
      <c r="S6" s="14">
        <v>2.2391999999999999E-2</v>
      </c>
      <c r="T6" s="13">
        <v>0.73117633333333332</v>
      </c>
      <c r="U6" s="14">
        <v>3.4812000000000003E-2</v>
      </c>
      <c r="V6" s="15">
        <v>3.4812000000000003E-2</v>
      </c>
      <c r="W6" s="12">
        <v>0.24519100000000002</v>
      </c>
      <c r="X6" s="14">
        <v>2.6141000000000001E-2</v>
      </c>
      <c r="Y6" s="14">
        <v>9.1818999999999998E-2</v>
      </c>
      <c r="Z6" s="13">
        <v>0.50452233333333341</v>
      </c>
      <c r="AA6" s="15">
        <v>0.13212699999999999</v>
      </c>
      <c r="AB6" s="16">
        <v>0</v>
      </c>
      <c r="AC6" s="17">
        <v>0</v>
      </c>
      <c r="AD6" s="17">
        <v>5.2525999999999996E-2</v>
      </c>
      <c r="AE6" s="17">
        <v>3.7418E-2</v>
      </c>
      <c r="AF6" s="18">
        <v>0.90851966666666673</v>
      </c>
      <c r="AG6" s="19">
        <v>1.3366666666666666E-3</v>
      </c>
      <c r="AH6" s="12">
        <v>0.59281499999999998</v>
      </c>
      <c r="AI6" s="13">
        <v>0.13221333333333338</v>
      </c>
      <c r="AJ6" s="14">
        <v>0.20834800000000001</v>
      </c>
      <c r="AK6" s="14">
        <v>6.6423999999999997E-2</v>
      </c>
      <c r="AL6" s="15">
        <v>0</v>
      </c>
      <c r="AM6" s="12">
        <v>0.17720499999999997</v>
      </c>
      <c r="AN6" s="14">
        <v>2.2474000000000004E-2</v>
      </c>
      <c r="AO6" s="13">
        <v>0.73075133333333342</v>
      </c>
      <c r="AP6" s="14">
        <v>3.4685000000000001E-2</v>
      </c>
      <c r="AQ6" s="15">
        <v>3.4685000000000001E-2</v>
      </c>
      <c r="AR6" s="12">
        <v>0.24598299999999998</v>
      </c>
      <c r="AS6" s="14">
        <v>2.6237E-2</v>
      </c>
      <c r="AT6" s="14">
        <v>9.2146000000000006E-2</v>
      </c>
      <c r="AU6" s="13">
        <v>0.50376433333333337</v>
      </c>
      <c r="AV6" s="15">
        <v>0.13167000000000001</v>
      </c>
      <c r="AW6" s="16">
        <v>0</v>
      </c>
      <c r="AX6" s="17">
        <v>0</v>
      </c>
      <c r="AY6" s="17">
        <v>5.2716999999999993E-2</v>
      </c>
      <c r="AZ6" s="17">
        <v>3.7554999999999998E-2</v>
      </c>
      <c r="BA6" s="18">
        <v>0.90819666666666665</v>
      </c>
      <c r="BB6" s="19">
        <v>1.3316666666666668E-3</v>
      </c>
      <c r="BC6" s="12">
        <v>0.78637999999999997</v>
      </c>
      <c r="BD6" s="13">
        <v>4.7047333333333406E-2</v>
      </c>
      <c r="BE6" s="14">
        <v>0.12715399999999999</v>
      </c>
      <c r="BF6" s="14">
        <v>3.9218999999999997E-2</v>
      </c>
      <c r="BG6" s="15">
        <v>0</v>
      </c>
      <c r="BH6" s="12">
        <v>0.284721</v>
      </c>
      <c r="BI6" s="14">
        <v>3.8297999999999999E-2</v>
      </c>
      <c r="BJ6" s="13">
        <v>0.63610333333333335</v>
      </c>
      <c r="BK6" s="14">
        <v>2.0338999999999999E-2</v>
      </c>
      <c r="BL6" s="15">
        <v>2.0338999999999999E-2</v>
      </c>
      <c r="BM6" s="12">
        <v>0.38433199999999995</v>
      </c>
      <c r="BN6" s="14">
        <v>4.4648E-2</v>
      </c>
      <c r="BO6" s="14">
        <v>0.15301799999999999</v>
      </c>
      <c r="BP6" s="13">
        <v>0.33890733333333328</v>
      </c>
      <c r="BQ6" s="15">
        <v>7.8895000000000007E-2</v>
      </c>
      <c r="BR6" s="16">
        <v>0</v>
      </c>
      <c r="BS6" s="17">
        <v>0</v>
      </c>
      <c r="BT6" s="17">
        <v>8.8842000000000018E-2</v>
      </c>
      <c r="BU6" s="17">
        <v>6.3644999999999993E-2</v>
      </c>
      <c r="BV6" s="18">
        <v>0.84655800000000003</v>
      </c>
      <c r="BW6" s="19">
        <v>7.5533333333333323E-4</v>
      </c>
    </row>
    <row r="7" spans="1:75" ht="17" thickBot="1" x14ac:dyDescent="0.25">
      <c r="A7" s="68" t="s">
        <v>158</v>
      </c>
      <c r="B7" s="63">
        <v>0.24213857142857145</v>
      </c>
      <c r="C7" s="70">
        <v>5.2163571428571434E-2</v>
      </c>
      <c r="D7" s="63">
        <v>0.12019611111111113</v>
      </c>
      <c r="E7" s="70">
        <v>1.3352380952380953E-3</v>
      </c>
      <c r="F7" s="63">
        <v>0.59184142857142863</v>
      </c>
      <c r="G7" s="70">
        <v>0.12170142857142857</v>
      </c>
      <c r="H7" s="63">
        <v>0.29137350000000001</v>
      </c>
      <c r="I7" s="70">
        <v>7.1309142857142863E-2</v>
      </c>
      <c r="J7" s="61"/>
      <c r="L7" s="75" t="s">
        <v>158</v>
      </c>
      <c r="M7" s="73">
        <v>0.59145199999999998</v>
      </c>
      <c r="N7" s="13">
        <v>0.13264633333333339</v>
      </c>
      <c r="O7" s="14">
        <v>0.20903799999999997</v>
      </c>
      <c r="P7" s="14">
        <v>6.6664000000000001E-2</v>
      </c>
      <c r="Q7" s="15">
        <v>0</v>
      </c>
      <c r="R7" s="12">
        <v>0.17660799999999999</v>
      </c>
      <c r="S7" s="14">
        <v>2.2391999999999999E-2</v>
      </c>
      <c r="T7" s="13">
        <v>0.73117633333333332</v>
      </c>
      <c r="U7" s="14">
        <v>3.4812000000000003E-2</v>
      </c>
      <c r="V7" s="15">
        <v>3.4812000000000003E-2</v>
      </c>
      <c r="W7" s="12">
        <v>0.24519100000000002</v>
      </c>
      <c r="X7" s="14">
        <v>2.6141000000000001E-2</v>
      </c>
      <c r="Y7" s="14">
        <v>9.1818999999999998E-2</v>
      </c>
      <c r="Z7" s="13">
        <v>0.50452233333333341</v>
      </c>
      <c r="AA7" s="15">
        <v>0.13212699999999999</v>
      </c>
      <c r="AB7" s="16">
        <v>0</v>
      </c>
      <c r="AC7" s="17">
        <v>0</v>
      </c>
      <c r="AD7" s="17">
        <v>5.2525999999999996E-2</v>
      </c>
      <c r="AE7" s="17">
        <v>3.7418E-2</v>
      </c>
      <c r="AF7" s="18">
        <v>0.90851966666666673</v>
      </c>
      <c r="AG7" s="19">
        <v>1.3366666666666666E-3</v>
      </c>
      <c r="AH7" s="12">
        <v>0.59281499999999998</v>
      </c>
      <c r="AI7" s="13">
        <v>0.13221333333333338</v>
      </c>
      <c r="AJ7" s="14">
        <v>0.20834800000000001</v>
      </c>
      <c r="AK7" s="14">
        <v>6.6423999999999997E-2</v>
      </c>
      <c r="AL7" s="15">
        <v>0</v>
      </c>
      <c r="AM7" s="12">
        <v>0.17720499999999997</v>
      </c>
      <c r="AN7" s="14">
        <v>2.2474000000000004E-2</v>
      </c>
      <c r="AO7" s="13">
        <v>0.73075133333333342</v>
      </c>
      <c r="AP7" s="14">
        <v>3.4685000000000001E-2</v>
      </c>
      <c r="AQ7" s="15">
        <v>3.4685000000000001E-2</v>
      </c>
      <c r="AR7" s="12">
        <v>0.24598299999999998</v>
      </c>
      <c r="AS7" s="14">
        <v>2.6237E-2</v>
      </c>
      <c r="AT7" s="14">
        <v>9.2146000000000006E-2</v>
      </c>
      <c r="AU7" s="13">
        <v>0.50376433333333337</v>
      </c>
      <c r="AV7" s="15">
        <v>0.13167000000000001</v>
      </c>
      <c r="AW7" s="16">
        <v>0</v>
      </c>
      <c r="AX7" s="17">
        <v>0</v>
      </c>
      <c r="AY7" s="17">
        <v>5.2716999999999993E-2</v>
      </c>
      <c r="AZ7" s="17">
        <v>3.7554999999999998E-2</v>
      </c>
      <c r="BA7" s="18">
        <v>0.90819666666666665</v>
      </c>
      <c r="BB7" s="19">
        <v>1.3316666666666668E-3</v>
      </c>
      <c r="BC7" s="12">
        <v>0.78637999999999997</v>
      </c>
      <c r="BD7" s="13">
        <v>4.7047333333333406E-2</v>
      </c>
      <c r="BE7" s="14">
        <v>0.12715399999999999</v>
      </c>
      <c r="BF7" s="14">
        <v>3.9218999999999997E-2</v>
      </c>
      <c r="BG7" s="15">
        <v>0</v>
      </c>
      <c r="BH7" s="12">
        <v>0.284721</v>
      </c>
      <c r="BI7" s="14">
        <v>3.8297999999999999E-2</v>
      </c>
      <c r="BJ7" s="13">
        <v>0.63610333333333335</v>
      </c>
      <c r="BK7" s="14">
        <v>2.0338999999999999E-2</v>
      </c>
      <c r="BL7" s="15">
        <v>2.0338999999999999E-2</v>
      </c>
      <c r="BM7" s="12">
        <v>0.38433199999999995</v>
      </c>
      <c r="BN7" s="14">
        <v>4.4648E-2</v>
      </c>
      <c r="BO7" s="14">
        <v>0.15301799999999999</v>
      </c>
      <c r="BP7" s="13">
        <v>0.33890733333333328</v>
      </c>
      <c r="BQ7" s="15">
        <v>7.8895000000000007E-2</v>
      </c>
      <c r="BR7" s="16">
        <v>0</v>
      </c>
      <c r="BS7" s="17">
        <v>0</v>
      </c>
      <c r="BT7" s="17">
        <v>8.8842000000000018E-2</v>
      </c>
      <c r="BU7" s="17">
        <v>6.3644999999999993E-2</v>
      </c>
      <c r="BV7" s="18">
        <v>0.84655800000000003</v>
      </c>
      <c r="BW7" s="19">
        <v>7.5533333333333323E-4</v>
      </c>
    </row>
    <row r="8" spans="1:75" ht="17" thickBot="1" x14ac:dyDescent="0.25">
      <c r="A8" s="66" t="s">
        <v>97</v>
      </c>
      <c r="B8" s="63">
        <v>0.24213857142857145</v>
      </c>
      <c r="C8" s="70">
        <v>5.2163571428571434E-2</v>
      </c>
      <c r="D8" s="63">
        <v>0.12019611111111113</v>
      </c>
      <c r="E8" s="70">
        <v>1.3352380952380953E-3</v>
      </c>
      <c r="F8" s="63">
        <v>0.59184142857142863</v>
      </c>
      <c r="G8" s="70">
        <v>0.12170142857142857</v>
      </c>
      <c r="H8" s="63">
        <v>0.29137350000000001</v>
      </c>
      <c r="I8" s="70">
        <v>7.1309142857142863E-2</v>
      </c>
      <c r="J8" s="61"/>
      <c r="L8" s="74" t="s">
        <v>97</v>
      </c>
      <c r="M8" s="73">
        <v>0.59145199999999998</v>
      </c>
      <c r="N8" s="13">
        <v>0.13264633333333339</v>
      </c>
      <c r="O8" s="14">
        <v>0.20903799999999997</v>
      </c>
      <c r="P8" s="14">
        <v>6.6664000000000001E-2</v>
      </c>
      <c r="Q8" s="15">
        <v>0</v>
      </c>
      <c r="R8" s="12">
        <v>0.17660799999999999</v>
      </c>
      <c r="S8" s="14">
        <v>2.2391999999999999E-2</v>
      </c>
      <c r="T8" s="13">
        <v>0.73117633333333332</v>
      </c>
      <c r="U8" s="14">
        <v>3.4812000000000003E-2</v>
      </c>
      <c r="V8" s="15">
        <v>3.4812000000000003E-2</v>
      </c>
      <c r="W8" s="12">
        <v>0.24519100000000002</v>
      </c>
      <c r="X8" s="14">
        <v>2.6141000000000001E-2</v>
      </c>
      <c r="Y8" s="14">
        <v>9.1818999999999998E-2</v>
      </c>
      <c r="Z8" s="13">
        <v>0.50452233333333341</v>
      </c>
      <c r="AA8" s="15">
        <v>0.13212699999999999</v>
      </c>
      <c r="AB8" s="16">
        <v>0</v>
      </c>
      <c r="AC8" s="17">
        <v>0</v>
      </c>
      <c r="AD8" s="17">
        <v>5.2525999999999996E-2</v>
      </c>
      <c r="AE8" s="17">
        <v>3.7418E-2</v>
      </c>
      <c r="AF8" s="18">
        <v>0.90851966666666673</v>
      </c>
      <c r="AG8" s="19">
        <v>1.3366666666666666E-3</v>
      </c>
      <c r="AH8" s="12">
        <v>0.59281499999999998</v>
      </c>
      <c r="AI8" s="13">
        <v>0.13221333333333338</v>
      </c>
      <c r="AJ8" s="14">
        <v>0.20834800000000001</v>
      </c>
      <c r="AK8" s="14">
        <v>6.6423999999999997E-2</v>
      </c>
      <c r="AL8" s="15">
        <v>0</v>
      </c>
      <c r="AM8" s="12">
        <v>0.17720499999999997</v>
      </c>
      <c r="AN8" s="14">
        <v>2.2474000000000004E-2</v>
      </c>
      <c r="AO8" s="13">
        <v>0.73075133333333342</v>
      </c>
      <c r="AP8" s="14">
        <v>3.4685000000000001E-2</v>
      </c>
      <c r="AQ8" s="15">
        <v>3.4685000000000001E-2</v>
      </c>
      <c r="AR8" s="12">
        <v>0.24598299999999998</v>
      </c>
      <c r="AS8" s="14">
        <v>2.6237E-2</v>
      </c>
      <c r="AT8" s="14">
        <v>9.2146000000000006E-2</v>
      </c>
      <c r="AU8" s="13">
        <v>0.50376433333333337</v>
      </c>
      <c r="AV8" s="15">
        <v>0.13167000000000001</v>
      </c>
      <c r="AW8" s="16">
        <v>0</v>
      </c>
      <c r="AX8" s="17">
        <v>0</v>
      </c>
      <c r="AY8" s="17">
        <v>5.2716999999999993E-2</v>
      </c>
      <c r="AZ8" s="17">
        <v>3.7554999999999998E-2</v>
      </c>
      <c r="BA8" s="18">
        <v>0.90819666666666665</v>
      </c>
      <c r="BB8" s="19">
        <v>1.3316666666666668E-3</v>
      </c>
      <c r="BC8" s="12">
        <v>0.78637999999999997</v>
      </c>
      <c r="BD8" s="13">
        <v>4.7047333333333406E-2</v>
      </c>
      <c r="BE8" s="14">
        <v>0.12715399999999999</v>
      </c>
      <c r="BF8" s="14">
        <v>3.9218999999999997E-2</v>
      </c>
      <c r="BG8" s="15">
        <v>0</v>
      </c>
      <c r="BH8" s="12">
        <v>0.284721</v>
      </c>
      <c r="BI8" s="14">
        <v>3.8297999999999999E-2</v>
      </c>
      <c r="BJ8" s="13">
        <v>0.63610333333333335</v>
      </c>
      <c r="BK8" s="14">
        <v>2.0338999999999999E-2</v>
      </c>
      <c r="BL8" s="15">
        <v>2.0338999999999999E-2</v>
      </c>
      <c r="BM8" s="12">
        <v>0.38433199999999995</v>
      </c>
      <c r="BN8" s="14">
        <v>4.4648E-2</v>
      </c>
      <c r="BO8" s="14">
        <v>0.15301799999999999</v>
      </c>
      <c r="BP8" s="13">
        <v>0.33890733333333328</v>
      </c>
      <c r="BQ8" s="15">
        <v>7.8895000000000007E-2</v>
      </c>
      <c r="BR8" s="16">
        <v>0</v>
      </c>
      <c r="BS8" s="17">
        <v>0</v>
      </c>
      <c r="BT8" s="17">
        <v>8.8842000000000018E-2</v>
      </c>
      <c r="BU8" s="17">
        <v>6.3644999999999993E-2</v>
      </c>
      <c r="BV8" s="18">
        <v>0.84655800000000003</v>
      </c>
      <c r="BW8" s="19">
        <v>7.5533333333333323E-4</v>
      </c>
    </row>
    <row r="9" spans="1:75" ht="16" x14ac:dyDescent="0.2">
      <c r="A9" s="66" t="s">
        <v>98</v>
      </c>
      <c r="B9" s="63">
        <v>0.24213857142857145</v>
      </c>
      <c r="C9" s="70">
        <v>5.2163571428571434E-2</v>
      </c>
      <c r="D9" s="63">
        <v>0.12019611111111113</v>
      </c>
      <c r="E9" s="70">
        <v>1.3352380952380953E-3</v>
      </c>
      <c r="F9" s="63">
        <v>0.59184142857142863</v>
      </c>
      <c r="G9" s="70">
        <v>0.12170142857142857</v>
      </c>
      <c r="H9" s="63">
        <v>0.29137350000000001</v>
      </c>
      <c r="I9" s="70">
        <v>7.1309142857142863E-2</v>
      </c>
      <c r="J9" s="61"/>
      <c r="L9" s="74" t="s">
        <v>98</v>
      </c>
      <c r="M9" s="73">
        <v>0.59145199999999998</v>
      </c>
      <c r="N9" s="13">
        <v>0.13264633333333339</v>
      </c>
      <c r="O9" s="14">
        <v>0.20903799999999997</v>
      </c>
      <c r="P9" s="14">
        <v>6.6664000000000001E-2</v>
      </c>
      <c r="Q9" s="15">
        <v>0</v>
      </c>
      <c r="R9" s="12">
        <v>0.17660799999999999</v>
      </c>
      <c r="S9" s="14">
        <v>2.2391999999999999E-2</v>
      </c>
      <c r="T9" s="13">
        <v>0.73117633333333332</v>
      </c>
      <c r="U9" s="14">
        <v>3.4812000000000003E-2</v>
      </c>
      <c r="V9" s="15">
        <v>3.4812000000000003E-2</v>
      </c>
      <c r="W9" s="12">
        <v>0.24519100000000002</v>
      </c>
      <c r="X9" s="14">
        <v>2.6141000000000001E-2</v>
      </c>
      <c r="Y9" s="14">
        <v>9.1818999999999998E-2</v>
      </c>
      <c r="Z9" s="13">
        <v>0.50452233333333341</v>
      </c>
      <c r="AA9" s="15">
        <v>0.13212699999999999</v>
      </c>
      <c r="AB9" s="16">
        <v>0</v>
      </c>
      <c r="AC9" s="17">
        <v>0</v>
      </c>
      <c r="AD9" s="17">
        <v>5.2525999999999996E-2</v>
      </c>
      <c r="AE9" s="17">
        <v>3.7418E-2</v>
      </c>
      <c r="AF9" s="18">
        <v>0.90851966666666673</v>
      </c>
      <c r="AG9" s="19">
        <v>1.3366666666666666E-3</v>
      </c>
      <c r="AH9" s="12">
        <v>0.59281499999999998</v>
      </c>
      <c r="AI9" s="13">
        <v>0.13221333333333338</v>
      </c>
      <c r="AJ9" s="14">
        <v>0.20834800000000001</v>
      </c>
      <c r="AK9" s="14">
        <v>6.6423999999999997E-2</v>
      </c>
      <c r="AL9" s="15">
        <v>0</v>
      </c>
      <c r="AM9" s="12">
        <v>0.17720499999999997</v>
      </c>
      <c r="AN9" s="14">
        <v>2.2474000000000004E-2</v>
      </c>
      <c r="AO9" s="13">
        <v>0.73075133333333342</v>
      </c>
      <c r="AP9" s="14">
        <v>3.4685000000000001E-2</v>
      </c>
      <c r="AQ9" s="15">
        <v>3.4685000000000001E-2</v>
      </c>
      <c r="AR9" s="12">
        <v>0.24598299999999998</v>
      </c>
      <c r="AS9" s="14">
        <v>2.6237E-2</v>
      </c>
      <c r="AT9" s="14">
        <v>9.2146000000000006E-2</v>
      </c>
      <c r="AU9" s="13">
        <v>0.50376433333333337</v>
      </c>
      <c r="AV9" s="15">
        <v>0.13167000000000001</v>
      </c>
      <c r="AW9" s="16">
        <v>0</v>
      </c>
      <c r="AX9" s="17">
        <v>0</v>
      </c>
      <c r="AY9" s="17">
        <v>5.2716999999999993E-2</v>
      </c>
      <c r="AZ9" s="17">
        <v>3.7554999999999998E-2</v>
      </c>
      <c r="BA9" s="18">
        <v>0.90819666666666665</v>
      </c>
      <c r="BB9" s="19">
        <v>1.3316666666666668E-3</v>
      </c>
      <c r="BC9" s="12">
        <v>0.78637999999999997</v>
      </c>
      <c r="BD9" s="13">
        <v>4.7047333333333406E-2</v>
      </c>
      <c r="BE9" s="14">
        <v>0.12715399999999999</v>
      </c>
      <c r="BF9" s="14">
        <v>3.9218999999999997E-2</v>
      </c>
      <c r="BG9" s="15">
        <v>0</v>
      </c>
      <c r="BH9" s="12">
        <v>0.284721</v>
      </c>
      <c r="BI9" s="14">
        <v>3.8297999999999999E-2</v>
      </c>
      <c r="BJ9" s="13">
        <v>0.63610333333333335</v>
      </c>
      <c r="BK9" s="14">
        <v>2.0338999999999999E-2</v>
      </c>
      <c r="BL9" s="15">
        <v>2.0338999999999999E-2</v>
      </c>
      <c r="BM9" s="12">
        <v>0.38433199999999995</v>
      </c>
      <c r="BN9" s="14">
        <v>4.4648E-2</v>
      </c>
      <c r="BO9" s="14">
        <v>0.15301799999999999</v>
      </c>
      <c r="BP9" s="13">
        <v>0.33890733333333328</v>
      </c>
      <c r="BQ9" s="15">
        <v>7.8895000000000007E-2</v>
      </c>
      <c r="BR9" s="16">
        <v>0</v>
      </c>
      <c r="BS9" s="17">
        <v>0</v>
      </c>
      <c r="BT9" s="17">
        <v>8.8842000000000018E-2</v>
      </c>
      <c r="BU9" s="17">
        <v>6.3644999999999993E-2</v>
      </c>
      <c r="BV9" s="18">
        <v>0.84655800000000003</v>
      </c>
      <c r="BW9" s="19">
        <v>7.5533333333333323E-4</v>
      </c>
    </row>
    <row r="10" spans="1:75" ht="16" x14ac:dyDescent="0.2">
      <c r="A10" s="66" t="s">
        <v>159</v>
      </c>
      <c r="B10" s="63">
        <v>0.12906128571428571</v>
      </c>
      <c r="C10" s="70">
        <v>6.0662303571428572E-2</v>
      </c>
      <c r="D10" s="63">
        <v>0.19646522222222224</v>
      </c>
      <c r="E10" s="70">
        <v>1.4111071428571429E-2</v>
      </c>
      <c r="F10" s="63">
        <v>0.43680510714285714</v>
      </c>
      <c r="G10" s="70">
        <v>0.12170142857142857</v>
      </c>
      <c r="H10" s="63">
        <v>0.29137350000000001</v>
      </c>
      <c r="I10" s="70">
        <v>5.3409928571428567E-2</v>
      </c>
      <c r="J10" s="61"/>
      <c r="L10" s="74" t="s">
        <v>159</v>
      </c>
      <c r="M10" s="24">
        <v>0.43646124999999997</v>
      </c>
      <c r="N10" s="21">
        <v>0.41889249999999995</v>
      </c>
      <c r="O10" s="22">
        <v>0.119132</v>
      </c>
      <c r="P10" s="22">
        <v>2.0116999999999999E-2</v>
      </c>
      <c r="Q10" s="23">
        <v>0</v>
      </c>
      <c r="R10" s="20">
        <v>0.17660799999999999</v>
      </c>
      <c r="S10" s="22">
        <v>2.2391999999999999E-2</v>
      </c>
      <c r="T10" s="21">
        <v>0.71429199999999993</v>
      </c>
      <c r="U10" s="22">
        <v>4.0140000000000002E-2</v>
      </c>
      <c r="V10" s="23">
        <v>4.1170749999999999E-2</v>
      </c>
      <c r="W10" s="20">
        <v>0.24519099999999999</v>
      </c>
      <c r="X10" s="22">
        <v>2.6141000000000001E-2</v>
      </c>
      <c r="Y10" s="22">
        <v>9.1818999999999998E-2</v>
      </c>
      <c r="Z10" s="21">
        <v>0.41614674999999995</v>
      </c>
      <c r="AA10" s="23">
        <v>0.215305</v>
      </c>
      <c r="AB10" s="24">
        <v>0</v>
      </c>
      <c r="AC10" s="22">
        <v>0</v>
      </c>
      <c r="AD10" s="22">
        <v>3.7458999999999999E-2</v>
      </c>
      <c r="AE10" s="22">
        <v>3.1790499999999999E-2</v>
      </c>
      <c r="AF10" s="21">
        <v>0.91122724999999993</v>
      </c>
      <c r="AG10" s="23">
        <v>1.4126E-2</v>
      </c>
      <c r="AH10" s="20">
        <v>0.43766475000000005</v>
      </c>
      <c r="AI10" s="21">
        <v>0.41817850000000001</v>
      </c>
      <c r="AJ10" s="22">
        <v>0.118717</v>
      </c>
      <c r="AK10" s="22">
        <v>2.0042499999999998E-2</v>
      </c>
      <c r="AL10" s="23">
        <v>0</v>
      </c>
      <c r="AM10" s="20">
        <v>0.177205</v>
      </c>
      <c r="AN10" s="22">
        <v>2.2474000000000001E-2</v>
      </c>
      <c r="AO10" s="21">
        <v>0.71390849999999995</v>
      </c>
      <c r="AP10" s="22">
        <v>3.9994000000000002E-2</v>
      </c>
      <c r="AQ10" s="23">
        <v>4.1021250000000002E-2</v>
      </c>
      <c r="AR10" s="20">
        <v>0.24598300000000001</v>
      </c>
      <c r="AS10" s="22">
        <v>2.6237E-2</v>
      </c>
      <c r="AT10" s="22">
        <v>9.2146000000000006E-2</v>
      </c>
      <c r="AU10" s="21">
        <v>0.41563824999999999</v>
      </c>
      <c r="AV10" s="23">
        <v>0.2145985</v>
      </c>
      <c r="AW10" s="24">
        <v>0</v>
      </c>
      <c r="AX10" s="22">
        <v>0</v>
      </c>
      <c r="AY10" s="22">
        <v>3.7595499999999997E-2</v>
      </c>
      <c r="AZ10" s="22">
        <v>3.1907249999999998E-2</v>
      </c>
      <c r="BA10" s="21">
        <v>0.91102624999999993</v>
      </c>
      <c r="BB10" s="23">
        <v>1.4073749999999999E-2</v>
      </c>
      <c r="BC10" s="20">
        <v>0.62775775</v>
      </c>
      <c r="BD10" s="21">
        <v>0.28420100000000004</v>
      </c>
      <c r="BE10" s="22">
        <v>7.0921999999999999E-2</v>
      </c>
      <c r="BF10" s="22">
        <v>1.1722E-2</v>
      </c>
      <c r="BG10" s="23">
        <v>0</v>
      </c>
      <c r="BH10" s="20">
        <v>0.284721</v>
      </c>
      <c r="BI10" s="22">
        <v>3.8297999999999999E-2</v>
      </c>
      <c r="BJ10" s="21">
        <v>0.62401899999999999</v>
      </c>
      <c r="BK10" s="22">
        <v>2.3477999999999999E-2</v>
      </c>
      <c r="BL10" s="23">
        <v>2.4086749999999997E-2</v>
      </c>
      <c r="BM10" s="20">
        <v>0.38433200000000001</v>
      </c>
      <c r="BN10" s="22">
        <v>4.4648E-2</v>
      </c>
      <c r="BO10" s="22">
        <v>0.15301799999999999</v>
      </c>
      <c r="BP10" s="21">
        <v>0.28137224999999993</v>
      </c>
      <c r="BQ10" s="23">
        <v>0.1312325</v>
      </c>
      <c r="BR10" s="24">
        <v>0</v>
      </c>
      <c r="BS10" s="22">
        <v>0</v>
      </c>
      <c r="BT10" s="22">
        <v>6.3570000000000002E-2</v>
      </c>
      <c r="BU10" s="22">
        <v>5.4125749999999993E-2</v>
      </c>
      <c r="BV10" s="21">
        <v>0.86890174999999992</v>
      </c>
      <c r="BW10" s="23">
        <v>8.0052500000000002E-3</v>
      </c>
    </row>
    <row r="11" spans="1:75" ht="16" x14ac:dyDescent="0.2">
      <c r="A11" s="66" t="s">
        <v>3</v>
      </c>
      <c r="B11" s="63">
        <v>0.12906128571428571</v>
      </c>
      <c r="C11" s="70">
        <v>6.0662303571428572E-2</v>
      </c>
      <c r="D11" s="63">
        <v>0.19646522222222224</v>
      </c>
      <c r="E11" s="70">
        <v>1.4111071428571429E-2</v>
      </c>
      <c r="F11" s="63">
        <v>0.43680510714285714</v>
      </c>
      <c r="G11" s="70">
        <v>0.12170142857142857</v>
      </c>
      <c r="H11" s="63">
        <v>0.29137350000000001</v>
      </c>
      <c r="I11" s="70">
        <v>5.3409928571428567E-2</v>
      </c>
      <c r="J11" s="61"/>
      <c r="L11" s="74" t="s">
        <v>3</v>
      </c>
      <c r="M11" s="24">
        <v>0.43646124999999997</v>
      </c>
      <c r="N11" s="21">
        <v>0.41889249999999995</v>
      </c>
      <c r="O11" s="22">
        <v>0.119132</v>
      </c>
      <c r="P11" s="22">
        <v>2.0116999999999999E-2</v>
      </c>
      <c r="Q11" s="23">
        <v>0</v>
      </c>
      <c r="R11" s="20">
        <v>0.17660799999999999</v>
      </c>
      <c r="S11" s="22">
        <v>2.2391999999999999E-2</v>
      </c>
      <c r="T11" s="21">
        <v>0.71429199999999993</v>
      </c>
      <c r="U11" s="22">
        <v>4.0140000000000002E-2</v>
      </c>
      <c r="V11" s="23">
        <v>4.1170749999999999E-2</v>
      </c>
      <c r="W11" s="20">
        <v>0.24519099999999999</v>
      </c>
      <c r="X11" s="22">
        <v>2.6141000000000001E-2</v>
      </c>
      <c r="Y11" s="22">
        <v>9.1818999999999998E-2</v>
      </c>
      <c r="Z11" s="21">
        <v>0.41614674999999995</v>
      </c>
      <c r="AA11" s="23">
        <v>0.215305</v>
      </c>
      <c r="AB11" s="24">
        <v>0</v>
      </c>
      <c r="AC11" s="22">
        <v>0</v>
      </c>
      <c r="AD11" s="22">
        <v>3.7458999999999999E-2</v>
      </c>
      <c r="AE11" s="22">
        <v>3.1790499999999999E-2</v>
      </c>
      <c r="AF11" s="21">
        <v>0.91122724999999993</v>
      </c>
      <c r="AG11" s="23">
        <v>1.4126E-2</v>
      </c>
      <c r="AH11" s="20">
        <v>0.43766475000000005</v>
      </c>
      <c r="AI11" s="21">
        <v>0.41817850000000001</v>
      </c>
      <c r="AJ11" s="22">
        <v>0.118717</v>
      </c>
      <c r="AK11" s="22">
        <v>2.0042499999999998E-2</v>
      </c>
      <c r="AL11" s="23">
        <v>0</v>
      </c>
      <c r="AM11" s="20">
        <v>0.177205</v>
      </c>
      <c r="AN11" s="22">
        <v>2.2474000000000001E-2</v>
      </c>
      <c r="AO11" s="21">
        <v>0.71390849999999995</v>
      </c>
      <c r="AP11" s="22">
        <v>3.9994000000000002E-2</v>
      </c>
      <c r="AQ11" s="23">
        <v>4.1021250000000002E-2</v>
      </c>
      <c r="AR11" s="20">
        <v>0.24598300000000001</v>
      </c>
      <c r="AS11" s="22">
        <v>2.6237E-2</v>
      </c>
      <c r="AT11" s="22">
        <v>9.2146000000000006E-2</v>
      </c>
      <c r="AU11" s="21">
        <v>0.41563824999999999</v>
      </c>
      <c r="AV11" s="23">
        <v>0.2145985</v>
      </c>
      <c r="AW11" s="24">
        <v>0</v>
      </c>
      <c r="AX11" s="22">
        <v>0</v>
      </c>
      <c r="AY11" s="22">
        <v>3.7595499999999997E-2</v>
      </c>
      <c r="AZ11" s="22">
        <v>3.1907249999999998E-2</v>
      </c>
      <c r="BA11" s="21">
        <v>0.91102624999999993</v>
      </c>
      <c r="BB11" s="23">
        <v>1.4073749999999999E-2</v>
      </c>
      <c r="BC11" s="20">
        <v>0.62775775</v>
      </c>
      <c r="BD11" s="21">
        <v>0.28420100000000004</v>
      </c>
      <c r="BE11" s="22">
        <v>7.0921999999999999E-2</v>
      </c>
      <c r="BF11" s="22">
        <v>1.1722E-2</v>
      </c>
      <c r="BG11" s="23">
        <v>0</v>
      </c>
      <c r="BH11" s="20">
        <v>0.284721</v>
      </c>
      <c r="BI11" s="22">
        <v>3.8297999999999999E-2</v>
      </c>
      <c r="BJ11" s="21">
        <v>0.62401899999999999</v>
      </c>
      <c r="BK11" s="22">
        <v>2.3477999999999999E-2</v>
      </c>
      <c r="BL11" s="23">
        <v>2.4086749999999997E-2</v>
      </c>
      <c r="BM11" s="20">
        <v>0.38433200000000001</v>
      </c>
      <c r="BN11" s="22">
        <v>4.4648E-2</v>
      </c>
      <c r="BO11" s="22">
        <v>0.15301799999999999</v>
      </c>
      <c r="BP11" s="21">
        <v>0.28137224999999993</v>
      </c>
      <c r="BQ11" s="23">
        <v>0.1312325</v>
      </c>
      <c r="BR11" s="24">
        <v>0</v>
      </c>
      <c r="BS11" s="22">
        <v>0</v>
      </c>
      <c r="BT11" s="22">
        <v>6.3570000000000002E-2</v>
      </c>
      <c r="BU11" s="22">
        <v>5.4125749999999993E-2</v>
      </c>
      <c r="BV11" s="21">
        <v>0.86890174999999992</v>
      </c>
      <c r="BW11" s="23">
        <v>8.0052500000000002E-3</v>
      </c>
    </row>
    <row r="12" spans="1:75" ht="16" x14ac:dyDescent="0.2">
      <c r="A12" s="66" t="s">
        <v>4</v>
      </c>
      <c r="B12" s="63">
        <v>0.12906128571428571</v>
      </c>
      <c r="C12" s="70">
        <v>6.0662303571428572E-2</v>
      </c>
      <c r="D12" s="63">
        <v>0.19646522222222224</v>
      </c>
      <c r="E12" s="70">
        <v>1.4111071428571429E-2</v>
      </c>
      <c r="F12" s="63">
        <v>0.43680510714285714</v>
      </c>
      <c r="G12" s="70">
        <v>0.12170142857142857</v>
      </c>
      <c r="H12" s="63">
        <v>0.29137350000000001</v>
      </c>
      <c r="I12" s="70">
        <v>5.3409928571428567E-2</v>
      </c>
      <c r="J12" s="61"/>
      <c r="L12" s="74" t="s">
        <v>4</v>
      </c>
      <c r="M12" s="24">
        <v>0.43646124999999997</v>
      </c>
      <c r="N12" s="21">
        <v>0.41889249999999995</v>
      </c>
      <c r="O12" s="22">
        <v>0.119132</v>
      </c>
      <c r="P12" s="22">
        <v>2.0116999999999999E-2</v>
      </c>
      <c r="Q12" s="23">
        <v>0</v>
      </c>
      <c r="R12" s="20">
        <v>0.17660799999999999</v>
      </c>
      <c r="S12" s="22">
        <v>2.2391999999999999E-2</v>
      </c>
      <c r="T12" s="21">
        <v>0.71429199999999993</v>
      </c>
      <c r="U12" s="22">
        <v>4.0140000000000002E-2</v>
      </c>
      <c r="V12" s="23">
        <v>4.1170749999999999E-2</v>
      </c>
      <c r="W12" s="20">
        <v>0.24519099999999999</v>
      </c>
      <c r="X12" s="22">
        <v>2.6141000000000001E-2</v>
      </c>
      <c r="Y12" s="22">
        <v>9.1818999999999998E-2</v>
      </c>
      <c r="Z12" s="21">
        <v>0.41614674999999995</v>
      </c>
      <c r="AA12" s="23">
        <v>0.215305</v>
      </c>
      <c r="AB12" s="24">
        <v>0</v>
      </c>
      <c r="AC12" s="22">
        <v>0</v>
      </c>
      <c r="AD12" s="22">
        <v>3.7458999999999999E-2</v>
      </c>
      <c r="AE12" s="22">
        <v>3.1790499999999999E-2</v>
      </c>
      <c r="AF12" s="21">
        <v>0.91122724999999993</v>
      </c>
      <c r="AG12" s="23">
        <v>1.4126E-2</v>
      </c>
      <c r="AH12" s="20">
        <v>0.43766475000000005</v>
      </c>
      <c r="AI12" s="21">
        <v>0.41817850000000001</v>
      </c>
      <c r="AJ12" s="22">
        <v>0.118717</v>
      </c>
      <c r="AK12" s="22">
        <v>2.0042499999999998E-2</v>
      </c>
      <c r="AL12" s="23">
        <v>0</v>
      </c>
      <c r="AM12" s="20">
        <v>0.177205</v>
      </c>
      <c r="AN12" s="22">
        <v>2.2474000000000001E-2</v>
      </c>
      <c r="AO12" s="21">
        <v>0.71390849999999995</v>
      </c>
      <c r="AP12" s="22">
        <v>3.9994000000000002E-2</v>
      </c>
      <c r="AQ12" s="23">
        <v>4.1021250000000002E-2</v>
      </c>
      <c r="AR12" s="20">
        <v>0.24598300000000001</v>
      </c>
      <c r="AS12" s="22">
        <v>2.6237E-2</v>
      </c>
      <c r="AT12" s="22">
        <v>9.2146000000000006E-2</v>
      </c>
      <c r="AU12" s="21">
        <v>0.41563824999999999</v>
      </c>
      <c r="AV12" s="23">
        <v>0.2145985</v>
      </c>
      <c r="AW12" s="24">
        <v>0</v>
      </c>
      <c r="AX12" s="22">
        <v>0</v>
      </c>
      <c r="AY12" s="22">
        <v>3.7595499999999997E-2</v>
      </c>
      <c r="AZ12" s="22">
        <v>3.1907249999999998E-2</v>
      </c>
      <c r="BA12" s="21">
        <v>0.91102624999999993</v>
      </c>
      <c r="BB12" s="23">
        <v>1.4073749999999999E-2</v>
      </c>
      <c r="BC12" s="20">
        <v>0.62775775</v>
      </c>
      <c r="BD12" s="21">
        <v>0.28420100000000004</v>
      </c>
      <c r="BE12" s="22">
        <v>7.0921999999999999E-2</v>
      </c>
      <c r="BF12" s="22">
        <v>1.1722E-2</v>
      </c>
      <c r="BG12" s="23">
        <v>0</v>
      </c>
      <c r="BH12" s="20">
        <v>0.284721</v>
      </c>
      <c r="BI12" s="22">
        <v>3.8297999999999999E-2</v>
      </c>
      <c r="BJ12" s="21">
        <v>0.62401899999999999</v>
      </c>
      <c r="BK12" s="22">
        <v>2.3477999999999999E-2</v>
      </c>
      <c r="BL12" s="23">
        <v>2.4086749999999997E-2</v>
      </c>
      <c r="BM12" s="20">
        <v>0.38433200000000001</v>
      </c>
      <c r="BN12" s="22">
        <v>4.4648E-2</v>
      </c>
      <c r="BO12" s="22">
        <v>0.15301799999999999</v>
      </c>
      <c r="BP12" s="21">
        <v>0.28137224999999993</v>
      </c>
      <c r="BQ12" s="23">
        <v>0.1312325</v>
      </c>
      <c r="BR12" s="24">
        <v>0</v>
      </c>
      <c r="BS12" s="22">
        <v>0</v>
      </c>
      <c r="BT12" s="22">
        <v>6.3570000000000002E-2</v>
      </c>
      <c r="BU12" s="22">
        <v>5.4125749999999993E-2</v>
      </c>
      <c r="BV12" s="21">
        <v>0.86890174999999992</v>
      </c>
      <c r="BW12" s="23">
        <v>8.0052500000000002E-3</v>
      </c>
    </row>
    <row r="13" spans="1:75" ht="16" x14ac:dyDescent="0.2">
      <c r="A13" s="66" t="s">
        <v>5</v>
      </c>
      <c r="B13" s="63">
        <v>0.12906128571428571</v>
      </c>
      <c r="C13" s="70">
        <v>6.0662303571428572E-2</v>
      </c>
      <c r="D13" s="63">
        <v>0.19646522222222224</v>
      </c>
      <c r="E13" s="70">
        <v>1.4111071428571429E-2</v>
      </c>
      <c r="F13" s="63">
        <v>0.43680510714285714</v>
      </c>
      <c r="G13" s="70">
        <v>0.12170142857142857</v>
      </c>
      <c r="H13" s="63">
        <v>0.29137350000000001</v>
      </c>
      <c r="I13" s="70">
        <v>5.3409928571428567E-2</v>
      </c>
      <c r="J13" s="61"/>
      <c r="L13" s="74" t="s">
        <v>5</v>
      </c>
      <c r="M13" s="24">
        <v>0.43646124999999997</v>
      </c>
      <c r="N13" s="21">
        <v>0.41889249999999995</v>
      </c>
      <c r="O13" s="22">
        <v>0.119132</v>
      </c>
      <c r="P13" s="22">
        <v>2.0116999999999999E-2</v>
      </c>
      <c r="Q13" s="23">
        <v>0</v>
      </c>
      <c r="R13" s="20">
        <v>0.17660799999999999</v>
      </c>
      <c r="S13" s="22">
        <v>2.2391999999999999E-2</v>
      </c>
      <c r="T13" s="21">
        <v>0.71429199999999993</v>
      </c>
      <c r="U13" s="22">
        <v>4.0140000000000002E-2</v>
      </c>
      <c r="V13" s="23">
        <v>4.1170749999999999E-2</v>
      </c>
      <c r="W13" s="20">
        <v>0.24519099999999999</v>
      </c>
      <c r="X13" s="22">
        <v>2.6141000000000001E-2</v>
      </c>
      <c r="Y13" s="22">
        <v>9.1818999999999998E-2</v>
      </c>
      <c r="Z13" s="21">
        <v>0.41614674999999995</v>
      </c>
      <c r="AA13" s="23">
        <v>0.215305</v>
      </c>
      <c r="AB13" s="24">
        <v>0</v>
      </c>
      <c r="AC13" s="22">
        <v>0</v>
      </c>
      <c r="AD13" s="22">
        <v>3.7458999999999999E-2</v>
      </c>
      <c r="AE13" s="22">
        <v>3.1790499999999999E-2</v>
      </c>
      <c r="AF13" s="21">
        <v>0.91122724999999993</v>
      </c>
      <c r="AG13" s="23">
        <v>1.4126E-2</v>
      </c>
      <c r="AH13" s="20">
        <v>0.43766475000000005</v>
      </c>
      <c r="AI13" s="21">
        <v>0.41817850000000001</v>
      </c>
      <c r="AJ13" s="22">
        <v>0.118717</v>
      </c>
      <c r="AK13" s="22">
        <v>2.0042499999999998E-2</v>
      </c>
      <c r="AL13" s="23">
        <v>0</v>
      </c>
      <c r="AM13" s="20">
        <v>0.177205</v>
      </c>
      <c r="AN13" s="22">
        <v>2.2474000000000001E-2</v>
      </c>
      <c r="AO13" s="21">
        <v>0.71390849999999995</v>
      </c>
      <c r="AP13" s="22">
        <v>3.9994000000000002E-2</v>
      </c>
      <c r="AQ13" s="23">
        <v>4.1021250000000002E-2</v>
      </c>
      <c r="AR13" s="20">
        <v>0.24598300000000001</v>
      </c>
      <c r="AS13" s="22">
        <v>2.6237E-2</v>
      </c>
      <c r="AT13" s="22">
        <v>9.2146000000000006E-2</v>
      </c>
      <c r="AU13" s="21">
        <v>0.41563824999999999</v>
      </c>
      <c r="AV13" s="23">
        <v>0.2145985</v>
      </c>
      <c r="AW13" s="24">
        <v>0</v>
      </c>
      <c r="AX13" s="22">
        <v>0</v>
      </c>
      <c r="AY13" s="22">
        <v>3.7595499999999997E-2</v>
      </c>
      <c r="AZ13" s="22">
        <v>3.1907249999999998E-2</v>
      </c>
      <c r="BA13" s="21">
        <v>0.91102624999999993</v>
      </c>
      <c r="BB13" s="23">
        <v>1.4073749999999999E-2</v>
      </c>
      <c r="BC13" s="20">
        <v>0.62775775</v>
      </c>
      <c r="BD13" s="21">
        <v>0.28420100000000004</v>
      </c>
      <c r="BE13" s="22">
        <v>7.0921999999999999E-2</v>
      </c>
      <c r="BF13" s="22">
        <v>1.1722E-2</v>
      </c>
      <c r="BG13" s="23">
        <v>0</v>
      </c>
      <c r="BH13" s="20">
        <v>0.284721</v>
      </c>
      <c r="BI13" s="22">
        <v>3.8297999999999999E-2</v>
      </c>
      <c r="BJ13" s="21">
        <v>0.62401899999999999</v>
      </c>
      <c r="BK13" s="22">
        <v>2.3477999999999999E-2</v>
      </c>
      <c r="BL13" s="23">
        <v>2.4086749999999997E-2</v>
      </c>
      <c r="BM13" s="20">
        <v>0.38433200000000001</v>
      </c>
      <c r="BN13" s="22">
        <v>4.4648E-2</v>
      </c>
      <c r="BO13" s="22">
        <v>0.15301799999999999</v>
      </c>
      <c r="BP13" s="21">
        <v>0.28137224999999993</v>
      </c>
      <c r="BQ13" s="23">
        <v>0.1312325</v>
      </c>
      <c r="BR13" s="24">
        <v>0</v>
      </c>
      <c r="BS13" s="22">
        <v>0</v>
      </c>
      <c r="BT13" s="22">
        <v>6.3570000000000002E-2</v>
      </c>
      <c r="BU13" s="22">
        <v>5.4125749999999993E-2</v>
      </c>
      <c r="BV13" s="21">
        <v>0.86890174999999992</v>
      </c>
      <c r="BW13" s="23">
        <v>8.0052500000000002E-3</v>
      </c>
    </row>
    <row r="14" spans="1:75" ht="16" x14ac:dyDescent="0.2">
      <c r="A14" s="66" t="s">
        <v>6</v>
      </c>
      <c r="B14" s="63">
        <v>0.12906128571428571</v>
      </c>
      <c r="C14" s="70">
        <v>6.0662303571428572E-2</v>
      </c>
      <c r="D14" s="63">
        <v>0.19646522222222224</v>
      </c>
      <c r="E14" s="70">
        <v>1.4111071428571429E-2</v>
      </c>
      <c r="F14" s="63">
        <v>0.43680510714285714</v>
      </c>
      <c r="G14" s="70">
        <v>0.12170142857142857</v>
      </c>
      <c r="H14" s="63">
        <v>0.29137350000000001</v>
      </c>
      <c r="I14" s="70">
        <v>5.3409928571428567E-2</v>
      </c>
      <c r="J14" s="61"/>
      <c r="L14" s="74" t="s">
        <v>6</v>
      </c>
      <c r="M14" s="24">
        <v>0.43646124999999997</v>
      </c>
      <c r="N14" s="21">
        <v>0.41889249999999995</v>
      </c>
      <c r="O14" s="22">
        <v>0.119132</v>
      </c>
      <c r="P14" s="22">
        <v>2.0116999999999999E-2</v>
      </c>
      <c r="Q14" s="23">
        <v>0</v>
      </c>
      <c r="R14" s="20">
        <v>0.17660799999999999</v>
      </c>
      <c r="S14" s="22">
        <v>2.2391999999999999E-2</v>
      </c>
      <c r="T14" s="21">
        <v>0.71429199999999993</v>
      </c>
      <c r="U14" s="22">
        <v>4.0140000000000002E-2</v>
      </c>
      <c r="V14" s="23">
        <v>4.1170749999999999E-2</v>
      </c>
      <c r="W14" s="20">
        <v>0.24519099999999999</v>
      </c>
      <c r="X14" s="22">
        <v>2.6141000000000001E-2</v>
      </c>
      <c r="Y14" s="22">
        <v>9.1818999999999998E-2</v>
      </c>
      <c r="Z14" s="21">
        <v>0.41614674999999995</v>
      </c>
      <c r="AA14" s="23">
        <v>0.215305</v>
      </c>
      <c r="AB14" s="24">
        <v>0</v>
      </c>
      <c r="AC14" s="22">
        <v>0</v>
      </c>
      <c r="AD14" s="22">
        <v>3.7458999999999999E-2</v>
      </c>
      <c r="AE14" s="22">
        <v>3.1790499999999999E-2</v>
      </c>
      <c r="AF14" s="21">
        <v>0.91122724999999993</v>
      </c>
      <c r="AG14" s="23">
        <v>1.4126E-2</v>
      </c>
      <c r="AH14" s="20">
        <v>0.43766475000000005</v>
      </c>
      <c r="AI14" s="21">
        <v>0.41817850000000001</v>
      </c>
      <c r="AJ14" s="22">
        <v>0.118717</v>
      </c>
      <c r="AK14" s="22">
        <v>2.0042499999999998E-2</v>
      </c>
      <c r="AL14" s="23">
        <v>0</v>
      </c>
      <c r="AM14" s="20">
        <v>0.177205</v>
      </c>
      <c r="AN14" s="22">
        <v>2.2474000000000001E-2</v>
      </c>
      <c r="AO14" s="21">
        <v>0.71390849999999995</v>
      </c>
      <c r="AP14" s="22">
        <v>3.9994000000000002E-2</v>
      </c>
      <c r="AQ14" s="23">
        <v>4.1021250000000002E-2</v>
      </c>
      <c r="AR14" s="20">
        <v>0.24598300000000001</v>
      </c>
      <c r="AS14" s="22">
        <v>2.6237E-2</v>
      </c>
      <c r="AT14" s="22">
        <v>9.2146000000000006E-2</v>
      </c>
      <c r="AU14" s="21">
        <v>0.41563824999999999</v>
      </c>
      <c r="AV14" s="23">
        <v>0.2145985</v>
      </c>
      <c r="AW14" s="24">
        <v>0</v>
      </c>
      <c r="AX14" s="22">
        <v>0</v>
      </c>
      <c r="AY14" s="22">
        <v>3.7595499999999997E-2</v>
      </c>
      <c r="AZ14" s="22">
        <v>3.1907249999999998E-2</v>
      </c>
      <c r="BA14" s="21">
        <v>0.91102624999999993</v>
      </c>
      <c r="BB14" s="23">
        <v>1.4073749999999999E-2</v>
      </c>
      <c r="BC14" s="20">
        <v>0.62775775</v>
      </c>
      <c r="BD14" s="21">
        <v>0.28420100000000004</v>
      </c>
      <c r="BE14" s="22">
        <v>7.0921999999999999E-2</v>
      </c>
      <c r="BF14" s="22">
        <v>1.1722E-2</v>
      </c>
      <c r="BG14" s="23">
        <v>0</v>
      </c>
      <c r="BH14" s="20">
        <v>0.284721</v>
      </c>
      <c r="BI14" s="22">
        <v>3.8297999999999999E-2</v>
      </c>
      <c r="BJ14" s="21">
        <v>0.62401899999999999</v>
      </c>
      <c r="BK14" s="22">
        <v>2.3477999999999999E-2</v>
      </c>
      <c r="BL14" s="23">
        <v>2.4086749999999997E-2</v>
      </c>
      <c r="BM14" s="20">
        <v>0.38433200000000001</v>
      </c>
      <c r="BN14" s="22">
        <v>4.4648E-2</v>
      </c>
      <c r="BO14" s="22">
        <v>0.15301799999999999</v>
      </c>
      <c r="BP14" s="21">
        <v>0.28137224999999993</v>
      </c>
      <c r="BQ14" s="23">
        <v>0.1312325</v>
      </c>
      <c r="BR14" s="24">
        <v>0</v>
      </c>
      <c r="BS14" s="22">
        <v>0</v>
      </c>
      <c r="BT14" s="22">
        <v>6.3570000000000002E-2</v>
      </c>
      <c r="BU14" s="22">
        <v>5.4125749999999993E-2</v>
      </c>
      <c r="BV14" s="21">
        <v>0.86890174999999992</v>
      </c>
      <c r="BW14" s="23">
        <v>8.0052500000000002E-3</v>
      </c>
    </row>
    <row r="15" spans="1:75" ht="16" x14ac:dyDescent="0.2">
      <c r="A15" s="66" t="s">
        <v>99</v>
      </c>
      <c r="B15" s="63">
        <v>9.6256928571428563E-2</v>
      </c>
      <c r="C15" s="70">
        <v>7.5478500000000004E-2</v>
      </c>
      <c r="D15" s="63">
        <v>0.25986325000000005</v>
      </c>
      <c r="E15" s="70">
        <v>3.2381464285714284E-2</v>
      </c>
      <c r="F15" s="63">
        <v>0.2642221785714286</v>
      </c>
      <c r="G15" s="70">
        <v>0.12170142857142857</v>
      </c>
      <c r="H15" s="63">
        <v>0.29137350000000001</v>
      </c>
      <c r="I15" s="70">
        <v>1.9593678571428571E-2</v>
      </c>
      <c r="J15" s="61"/>
      <c r="L15" s="74" t="s">
        <v>99</v>
      </c>
      <c r="M15" s="24">
        <v>0.26398274999999999</v>
      </c>
      <c r="N15" s="21">
        <v>0.62208375000000005</v>
      </c>
      <c r="O15" s="22">
        <v>9.2994999999999994E-2</v>
      </c>
      <c r="P15" s="22">
        <v>6.7190000000000001E-3</v>
      </c>
      <c r="Q15" s="23">
        <v>0</v>
      </c>
      <c r="R15" s="20">
        <v>0.17660799999999999</v>
      </c>
      <c r="S15" s="22">
        <v>2.2391999999999999E-2</v>
      </c>
      <c r="T15" s="21">
        <v>0.68909249999999989</v>
      </c>
      <c r="U15" s="22">
        <v>5.3425E-2</v>
      </c>
      <c r="V15" s="23">
        <v>4.4262999999999997E-2</v>
      </c>
      <c r="W15" s="20">
        <v>0.24519099999999999</v>
      </c>
      <c r="X15" s="22">
        <v>2.6141000000000001E-2</v>
      </c>
      <c r="Y15" s="22">
        <v>9.1818999999999998E-2</v>
      </c>
      <c r="Z15" s="21">
        <v>0.3386087499999999</v>
      </c>
      <c r="AA15" s="23">
        <v>0.28402075000000004</v>
      </c>
      <c r="AB15" s="24">
        <v>0</v>
      </c>
      <c r="AC15" s="22">
        <v>0</v>
      </c>
      <c r="AD15" s="22">
        <v>1.4918499999999999E-2</v>
      </c>
      <c r="AE15" s="22">
        <v>9.3095000000000001E-3</v>
      </c>
      <c r="AF15" s="21">
        <v>0.92913724999999991</v>
      </c>
      <c r="AG15" s="23">
        <v>3.2415249999999993E-2</v>
      </c>
      <c r="AH15" s="20">
        <v>0.26482074999999999</v>
      </c>
      <c r="AI15" s="21">
        <v>0.62159975000000001</v>
      </c>
      <c r="AJ15" s="22">
        <v>9.2665999999999998E-2</v>
      </c>
      <c r="AK15" s="22">
        <v>6.6940000000000003E-3</v>
      </c>
      <c r="AL15" s="23">
        <v>0</v>
      </c>
      <c r="AM15" s="20">
        <v>0.177205</v>
      </c>
      <c r="AN15" s="22">
        <v>2.2474000000000001E-2</v>
      </c>
      <c r="AO15" s="21">
        <v>0.68876649999999995</v>
      </c>
      <c r="AP15" s="22">
        <v>5.3232000000000002E-2</v>
      </c>
      <c r="AQ15" s="23">
        <v>4.4103000000000003E-2</v>
      </c>
      <c r="AR15" s="20">
        <v>0.24598300000000001</v>
      </c>
      <c r="AS15" s="22">
        <v>2.6237E-2</v>
      </c>
      <c r="AT15" s="22">
        <v>9.2146000000000006E-2</v>
      </c>
      <c r="AU15" s="21">
        <v>0.33828224999999995</v>
      </c>
      <c r="AV15" s="23">
        <v>0.28313224999999997</v>
      </c>
      <c r="AW15" s="24">
        <v>0</v>
      </c>
      <c r="AX15" s="22">
        <v>0</v>
      </c>
      <c r="AY15" s="22">
        <v>1.4973E-2</v>
      </c>
      <c r="AZ15" s="22">
        <v>9.3434999999999994E-3</v>
      </c>
      <c r="BA15" s="21">
        <v>0.92916699999999997</v>
      </c>
      <c r="BB15" s="23">
        <v>3.2296999999999999E-2</v>
      </c>
      <c r="BC15" s="20">
        <v>0.40971574999999999</v>
      </c>
      <c r="BD15" s="21">
        <v>0.51712974999999994</v>
      </c>
      <c r="BE15" s="22">
        <v>5.5032999999999999E-2</v>
      </c>
      <c r="BF15" s="22">
        <v>3.9020000000000001E-3</v>
      </c>
      <c r="BG15" s="23">
        <v>0</v>
      </c>
      <c r="BH15" s="20">
        <v>0.284721</v>
      </c>
      <c r="BI15" s="22">
        <v>3.8297999999999999E-2</v>
      </c>
      <c r="BJ15" s="21">
        <v>0.60550850000000001</v>
      </c>
      <c r="BK15" s="22">
        <v>3.134E-2</v>
      </c>
      <c r="BL15" s="23">
        <v>2.5912999999999999E-2</v>
      </c>
      <c r="BM15" s="20">
        <v>0.38433200000000001</v>
      </c>
      <c r="BN15" s="22">
        <v>4.4648E-2</v>
      </c>
      <c r="BO15" s="22">
        <v>0.15301799999999999</v>
      </c>
      <c r="BP15" s="21">
        <v>0.22758199999999995</v>
      </c>
      <c r="BQ15" s="23">
        <v>0.17620050000000001</v>
      </c>
      <c r="BR15" s="24">
        <v>0</v>
      </c>
      <c r="BS15" s="22">
        <v>0</v>
      </c>
      <c r="BT15" s="22">
        <v>2.5549999999999996E-2</v>
      </c>
      <c r="BU15" s="22">
        <v>1.5996E-2</v>
      </c>
      <c r="BV15" s="21">
        <v>0.92580125000000002</v>
      </c>
      <c r="BW15" s="23">
        <v>1.8433249999999998E-2</v>
      </c>
    </row>
    <row r="16" spans="1:75" ht="16" x14ac:dyDescent="0.2">
      <c r="A16" s="66" t="s">
        <v>100</v>
      </c>
      <c r="B16" s="63">
        <v>9.6256928571428563E-2</v>
      </c>
      <c r="C16" s="70">
        <v>7.5478500000000004E-2</v>
      </c>
      <c r="D16" s="63">
        <v>0.25986325000000005</v>
      </c>
      <c r="E16" s="70">
        <v>3.2381464285714284E-2</v>
      </c>
      <c r="F16" s="63">
        <v>0.2642221785714286</v>
      </c>
      <c r="G16" s="70">
        <v>0.12170142857142857</v>
      </c>
      <c r="H16" s="63">
        <v>0.29137350000000001</v>
      </c>
      <c r="I16" s="70">
        <v>1.9593678571428571E-2</v>
      </c>
      <c r="J16" s="61"/>
      <c r="L16" s="74" t="s">
        <v>100</v>
      </c>
      <c r="M16" s="24">
        <v>0.26398274999999999</v>
      </c>
      <c r="N16" s="21">
        <v>0.62208375000000005</v>
      </c>
      <c r="O16" s="22">
        <v>9.2994999999999994E-2</v>
      </c>
      <c r="P16" s="22">
        <v>6.7190000000000001E-3</v>
      </c>
      <c r="Q16" s="23">
        <v>0</v>
      </c>
      <c r="R16" s="20">
        <v>0.17660799999999999</v>
      </c>
      <c r="S16" s="22">
        <v>2.2391999999999999E-2</v>
      </c>
      <c r="T16" s="21">
        <v>0.68909249999999989</v>
      </c>
      <c r="U16" s="22">
        <v>5.3425E-2</v>
      </c>
      <c r="V16" s="23">
        <v>4.4262999999999997E-2</v>
      </c>
      <c r="W16" s="20">
        <v>0.24519099999999999</v>
      </c>
      <c r="X16" s="22">
        <v>2.6141000000000001E-2</v>
      </c>
      <c r="Y16" s="22">
        <v>9.1818999999999998E-2</v>
      </c>
      <c r="Z16" s="21">
        <v>0.3386087499999999</v>
      </c>
      <c r="AA16" s="23">
        <v>0.28402075000000004</v>
      </c>
      <c r="AB16" s="24">
        <v>0</v>
      </c>
      <c r="AC16" s="22">
        <v>0</v>
      </c>
      <c r="AD16" s="22">
        <v>1.4918499999999999E-2</v>
      </c>
      <c r="AE16" s="22">
        <v>9.3095000000000001E-3</v>
      </c>
      <c r="AF16" s="21">
        <v>0.92913724999999991</v>
      </c>
      <c r="AG16" s="23">
        <v>3.2415249999999993E-2</v>
      </c>
      <c r="AH16" s="20">
        <v>0.26482074999999999</v>
      </c>
      <c r="AI16" s="21">
        <v>0.62159975000000001</v>
      </c>
      <c r="AJ16" s="22">
        <v>9.2665999999999998E-2</v>
      </c>
      <c r="AK16" s="22">
        <v>6.6940000000000003E-3</v>
      </c>
      <c r="AL16" s="23">
        <v>0</v>
      </c>
      <c r="AM16" s="20">
        <v>0.177205</v>
      </c>
      <c r="AN16" s="22">
        <v>2.2474000000000001E-2</v>
      </c>
      <c r="AO16" s="21">
        <v>0.68876649999999995</v>
      </c>
      <c r="AP16" s="22">
        <v>5.3232000000000002E-2</v>
      </c>
      <c r="AQ16" s="23">
        <v>4.4103000000000003E-2</v>
      </c>
      <c r="AR16" s="20">
        <v>0.24598300000000001</v>
      </c>
      <c r="AS16" s="22">
        <v>2.6237E-2</v>
      </c>
      <c r="AT16" s="22">
        <v>9.2146000000000006E-2</v>
      </c>
      <c r="AU16" s="21">
        <v>0.33828224999999995</v>
      </c>
      <c r="AV16" s="23">
        <v>0.28313224999999997</v>
      </c>
      <c r="AW16" s="24">
        <v>0</v>
      </c>
      <c r="AX16" s="22">
        <v>0</v>
      </c>
      <c r="AY16" s="22">
        <v>1.4973E-2</v>
      </c>
      <c r="AZ16" s="22">
        <v>9.3434999999999994E-3</v>
      </c>
      <c r="BA16" s="21">
        <v>0.92916699999999997</v>
      </c>
      <c r="BB16" s="23">
        <v>3.2296999999999999E-2</v>
      </c>
      <c r="BC16" s="20">
        <v>0.40971574999999999</v>
      </c>
      <c r="BD16" s="21">
        <v>0.51712974999999994</v>
      </c>
      <c r="BE16" s="22">
        <v>5.5032999999999999E-2</v>
      </c>
      <c r="BF16" s="22">
        <v>3.9020000000000001E-3</v>
      </c>
      <c r="BG16" s="23">
        <v>0</v>
      </c>
      <c r="BH16" s="20">
        <v>0.284721</v>
      </c>
      <c r="BI16" s="22">
        <v>3.8297999999999999E-2</v>
      </c>
      <c r="BJ16" s="21">
        <v>0.60550850000000001</v>
      </c>
      <c r="BK16" s="22">
        <v>3.134E-2</v>
      </c>
      <c r="BL16" s="23">
        <v>2.5912999999999999E-2</v>
      </c>
      <c r="BM16" s="20">
        <v>0.38433200000000001</v>
      </c>
      <c r="BN16" s="22">
        <v>4.4648E-2</v>
      </c>
      <c r="BO16" s="22">
        <v>0.15301799999999999</v>
      </c>
      <c r="BP16" s="21">
        <v>0.22758199999999995</v>
      </c>
      <c r="BQ16" s="23">
        <v>0.17620050000000001</v>
      </c>
      <c r="BR16" s="24">
        <v>0</v>
      </c>
      <c r="BS16" s="22">
        <v>0</v>
      </c>
      <c r="BT16" s="22">
        <v>2.5549999999999996E-2</v>
      </c>
      <c r="BU16" s="22">
        <v>1.5996E-2</v>
      </c>
      <c r="BV16" s="21">
        <v>0.92580125000000002</v>
      </c>
      <c r="BW16" s="23">
        <v>1.8433249999999998E-2</v>
      </c>
    </row>
    <row r="17" spans="1:75" ht="16" x14ac:dyDescent="0.2">
      <c r="A17" s="66" t="s">
        <v>110</v>
      </c>
      <c r="B17" s="63">
        <v>9.6256928571428563E-2</v>
      </c>
      <c r="C17" s="70">
        <v>7.5478500000000004E-2</v>
      </c>
      <c r="D17" s="63">
        <v>0.25986325000000005</v>
      </c>
      <c r="E17" s="70">
        <v>3.2381464285714284E-2</v>
      </c>
      <c r="F17" s="63">
        <v>0.2642221785714286</v>
      </c>
      <c r="G17" s="70">
        <v>0.12170142857142857</v>
      </c>
      <c r="H17" s="63">
        <v>0.29137350000000001</v>
      </c>
      <c r="I17" s="70">
        <v>1.9593678571428571E-2</v>
      </c>
      <c r="J17" s="61"/>
      <c r="L17" s="74" t="s">
        <v>110</v>
      </c>
      <c r="M17" s="24">
        <v>0.26398274999999999</v>
      </c>
      <c r="N17" s="21">
        <v>0.62208375000000005</v>
      </c>
      <c r="O17" s="22">
        <v>9.2994999999999994E-2</v>
      </c>
      <c r="P17" s="22">
        <v>6.7190000000000001E-3</v>
      </c>
      <c r="Q17" s="23">
        <v>0</v>
      </c>
      <c r="R17" s="20">
        <v>0.17660799999999999</v>
      </c>
      <c r="S17" s="22">
        <v>2.2391999999999999E-2</v>
      </c>
      <c r="T17" s="21">
        <v>0.68909249999999989</v>
      </c>
      <c r="U17" s="22">
        <v>5.3425E-2</v>
      </c>
      <c r="V17" s="23">
        <v>4.4262999999999997E-2</v>
      </c>
      <c r="W17" s="20">
        <v>0.24519099999999999</v>
      </c>
      <c r="X17" s="22">
        <v>2.6141000000000001E-2</v>
      </c>
      <c r="Y17" s="22">
        <v>9.1818999999999998E-2</v>
      </c>
      <c r="Z17" s="21">
        <v>0.3386087499999999</v>
      </c>
      <c r="AA17" s="23">
        <v>0.28402075000000004</v>
      </c>
      <c r="AB17" s="24">
        <v>0</v>
      </c>
      <c r="AC17" s="22">
        <v>0</v>
      </c>
      <c r="AD17" s="22">
        <v>1.4918499999999999E-2</v>
      </c>
      <c r="AE17" s="22">
        <v>9.3095000000000001E-3</v>
      </c>
      <c r="AF17" s="21">
        <v>0.92913724999999991</v>
      </c>
      <c r="AG17" s="23">
        <v>3.2415249999999993E-2</v>
      </c>
      <c r="AH17" s="20">
        <v>0.26482074999999999</v>
      </c>
      <c r="AI17" s="21">
        <v>0.62159975000000001</v>
      </c>
      <c r="AJ17" s="22">
        <v>9.2665999999999998E-2</v>
      </c>
      <c r="AK17" s="22">
        <v>6.6940000000000003E-3</v>
      </c>
      <c r="AL17" s="23">
        <v>0</v>
      </c>
      <c r="AM17" s="20">
        <v>0.177205</v>
      </c>
      <c r="AN17" s="22">
        <v>2.2474000000000001E-2</v>
      </c>
      <c r="AO17" s="21">
        <v>0.68876649999999995</v>
      </c>
      <c r="AP17" s="22">
        <v>5.3232000000000002E-2</v>
      </c>
      <c r="AQ17" s="23">
        <v>4.4103000000000003E-2</v>
      </c>
      <c r="AR17" s="20">
        <v>0.24598300000000001</v>
      </c>
      <c r="AS17" s="22">
        <v>2.6237E-2</v>
      </c>
      <c r="AT17" s="22">
        <v>9.2146000000000006E-2</v>
      </c>
      <c r="AU17" s="21">
        <v>0.33828224999999995</v>
      </c>
      <c r="AV17" s="23">
        <v>0.28313224999999997</v>
      </c>
      <c r="AW17" s="24">
        <v>0</v>
      </c>
      <c r="AX17" s="22">
        <v>0</v>
      </c>
      <c r="AY17" s="22">
        <v>1.4973E-2</v>
      </c>
      <c r="AZ17" s="22">
        <v>9.3434999999999994E-3</v>
      </c>
      <c r="BA17" s="21">
        <v>0.92916699999999997</v>
      </c>
      <c r="BB17" s="23">
        <v>3.2296999999999999E-2</v>
      </c>
      <c r="BC17" s="20">
        <v>0.40971574999999999</v>
      </c>
      <c r="BD17" s="21">
        <v>0.51712974999999994</v>
      </c>
      <c r="BE17" s="22">
        <v>5.5032999999999999E-2</v>
      </c>
      <c r="BF17" s="22">
        <v>3.9020000000000001E-3</v>
      </c>
      <c r="BG17" s="23">
        <v>0</v>
      </c>
      <c r="BH17" s="20">
        <v>0.284721</v>
      </c>
      <c r="BI17" s="22">
        <v>3.8297999999999999E-2</v>
      </c>
      <c r="BJ17" s="21">
        <v>0.60550850000000001</v>
      </c>
      <c r="BK17" s="22">
        <v>3.134E-2</v>
      </c>
      <c r="BL17" s="23">
        <v>2.5912999999999999E-2</v>
      </c>
      <c r="BM17" s="20">
        <v>0.38433200000000001</v>
      </c>
      <c r="BN17" s="22">
        <v>4.4648E-2</v>
      </c>
      <c r="BO17" s="22">
        <v>0.15301799999999999</v>
      </c>
      <c r="BP17" s="21">
        <v>0.22758199999999995</v>
      </c>
      <c r="BQ17" s="23">
        <v>0.17620050000000001</v>
      </c>
      <c r="BR17" s="24">
        <v>0</v>
      </c>
      <c r="BS17" s="22">
        <v>0</v>
      </c>
      <c r="BT17" s="22">
        <v>2.5549999999999996E-2</v>
      </c>
      <c r="BU17" s="22">
        <v>1.5996E-2</v>
      </c>
      <c r="BV17" s="21">
        <v>0.92580125000000002</v>
      </c>
      <c r="BW17" s="23">
        <v>1.8433249999999998E-2</v>
      </c>
    </row>
    <row r="18" spans="1:75" ht="16" x14ac:dyDescent="0.2">
      <c r="A18" s="66" t="s">
        <v>111</v>
      </c>
      <c r="B18" s="63">
        <v>9.6256928571428563E-2</v>
      </c>
      <c r="C18" s="70">
        <v>7.5478500000000004E-2</v>
      </c>
      <c r="D18" s="63">
        <v>0.25986325000000005</v>
      </c>
      <c r="E18" s="70">
        <v>3.2381464285714284E-2</v>
      </c>
      <c r="F18" s="63">
        <v>0.2642221785714286</v>
      </c>
      <c r="G18" s="70">
        <v>0.12170142857142857</v>
      </c>
      <c r="H18" s="63">
        <v>0.29137350000000001</v>
      </c>
      <c r="I18" s="70">
        <v>1.9593678571428571E-2</v>
      </c>
      <c r="J18" s="61"/>
      <c r="L18" s="74" t="s">
        <v>111</v>
      </c>
      <c r="M18" s="24">
        <v>0.26398274999999999</v>
      </c>
      <c r="N18" s="21">
        <v>0.62208375000000005</v>
      </c>
      <c r="O18" s="22">
        <v>9.2994999999999994E-2</v>
      </c>
      <c r="P18" s="22">
        <v>6.7190000000000001E-3</v>
      </c>
      <c r="Q18" s="23">
        <v>0</v>
      </c>
      <c r="R18" s="20">
        <v>0.17660799999999999</v>
      </c>
      <c r="S18" s="22">
        <v>2.2391999999999999E-2</v>
      </c>
      <c r="T18" s="21">
        <v>0.68909249999999989</v>
      </c>
      <c r="U18" s="22">
        <v>5.3425E-2</v>
      </c>
      <c r="V18" s="23">
        <v>4.4262999999999997E-2</v>
      </c>
      <c r="W18" s="20">
        <v>0.24519099999999999</v>
      </c>
      <c r="X18" s="22">
        <v>2.6141000000000001E-2</v>
      </c>
      <c r="Y18" s="22">
        <v>9.1818999999999998E-2</v>
      </c>
      <c r="Z18" s="21">
        <v>0.3386087499999999</v>
      </c>
      <c r="AA18" s="23">
        <v>0.28402075000000004</v>
      </c>
      <c r="AB18" s="24">
        <v>0</v>
      </c>
      <c r="AC18" s="22">
        <v>0</v>
      </c>
      <c r="AD18" s="22">
        <v>1.4918499999999999E-2</v>
      </c>
      <c r="AE18" s="22">
        <v>9.3095000000000001E-3</v>
      </c>
      <c r="AF18" s="21">
        <v>0.92913724999999991</v>
      </c>
      <c r="AG18" s="23">
        <v>3.2415249999999993E-2</v>
      </c>
      <c r="AH18" s="20">
        <v>0.26482074999999999</v>
      </c>
      <c r="AI18" s="21">
        <v>0.62159975000000001</v>
      </c>
      <c r="AJ18" s="22">
        <v>9.2665999999999998E-2</v>
      </c>
      <c r="AK18" s="22">
        <v>6.6940000000000003E-3</v>
      </c>
      <c r="AL18" s="23">
        <v>0</v>
      </c>
      <c r="AM18" s="20">
        <v>0.177205</v>
      </c>
      <c r="AN18" s="22">
        <v>2.2474000000000001E-2</v>
      </c>
      <c r="AO18" s="21">
        <v>0.68876649999999995</v>
      </c>
      <c r="AP18" s="22">
        <v>5.3232000000000002E-2</v>
      </c>
      <c r="AQ18" s="23">
        <v>4.4103000000000003E-2</v>
      </c>
      <c r="AR18" s="20">
        <v>0.24598300000000001</v>
      </c>
      <c r="AS18" s="22">
        <v>2.6237E-2</v>
      </c>
      <c r="AT18" s="22">
        <v>9.2146000000000006E-2</v>
      </c>
      <c r="AU18" s="21">
        <v>0.33828224999999995</v>
      </c>
      <c r="AV18" s="23">
        <v>0.28313224999999997</v>
      </c>
      <c r="AW18" s="24">
        <v>0</v>
      </c>
      <c r="AX18" s="22">
        <v>0</v>
      </c>
      <c r="AY18" s="22">
        <v>1.4973E-2</v>
      </c>
      <c r="AZ18" s="22">
        <v>9.3434999999999994E-3</v>
      </c>
      <c r="BA18" s="21">
        <v>0.92916699999999997</v>
      </c>
      <c r="BB18" s="23">
        <v>3.2296999999999999E-2</v>
      </c>
      <c r="BC18" s="20">
        <v>0.40971574999999999</v>
      </c>
      <c r="BD18" s="21">
        <v>0.51712974999999994</v>
      </c>
      <c r="BE18" s="22">
        <v>5.5032999999999999E-2</v>
      </c>
      <c r="BF18" s="22">
        <v>3.9020000000000001E-3</v>
      </c>
      <c r="BG18" s="23">
        <v>0</v>
      </c>
      <c r="BH18" s="20">
        <v>0.284721</v>
      </c>
      <c r="BI18" s="22">
        <v>3.8297999999999999E-2</v>
      </c>
      <c r="BJ18" s="21">
        <v>0.60550850000000001</v>
      </c>
      <c r="BK18" s="22">
        <v>3.134E-2</v>
      </c>
      <c r="BL18" s="23">
        <v>2.5912999999999999E-2</v>
      </c>
      <c r="BM18" s="20">
        <v>0.38433200000000001</v>
      </c>
      <c r="BN18" s="22">
        <v>4.4648E-2</v>
      </c>
      <c r="BO18" s="22">
        <v>0.15301799999999999</v>
      </c>
      <c r="BP18" s="21">
        <v>0.22758199999999995</v>
      </c>
      <c r="BQ18" s="23">
        <v>0.17620050000000001</v>
      </c>
      <c r="BR18" s="24">
        <v>0</v>
      </c>
      <c r="BS18" s="22">
        <v>0</v>
      </c>
      <c r="BT18" s="22">
        <v>2.5549999999999996E-2</v>
      </c>
      <c r="BU18" s="22">
        <v>1.5996E-2</v>
      </c>
      <c r="BV18" s="21">
        <v>0.92580125000000002</v>
      </c>
      <c r="BW18" s="23">
        <v>1.8433249999999998E-2</v>
      </c>
    </row>
    <row r="19" spans="1:75" ht="17" thickBot="1" x14ac:dyDescent="0.25">
      <c r="A19" s="66" t="s">
        <v>160</v>
      </c>
      <c r="B19" s="63">
        <v>9.6256928571428563E-2</v>
      </c>
      <c r="C19" s="70">
        <v>7.5478500000000004E-2</v>
      </c>
      <c r="D19" s="63">
        <v>0.29776118518518513</v>
      </c>
      <c r="E19" s="70">
        <v>3.8157761904761903E-2</v>
      </c>
      <c r="F19" s="63">
        <v>0.23315357142857146</v>
      </c>
      <c r="G19" s="70">
        <v>0.12170142857142857</v>
      </c>
      <c r="H19" s="63">
        <v>0.29137350000000001</v>
      </c>
      <c r="I19" s="70">
        <v>9.9361666666666678E-3</v>
      </c>
      <c r="J19" s="61"/>
      <c r="L19" s="74" t="s">
        <v>160</v>
      </c>
      <c r="M19" s="29">
        <v>0.23293700000000003</v>
      </c>
      <c r="N19" s="26">
        <v>0.63785533333333333</v>
      </c>
      <c r="O19" s="27">
        <v>9.2994999999999994E-2</v>
      </c>
      <c r="P19" s="27">
        <v>6.7190000000000001E-3</v>
      </c>
      <c r="Q19" s="28">
        <v>0</v>
      </c>
      <c r="R19" s="25">
        <v>0.17660799999999999</v>
      </c>
      <c r="S19" s="27">
        <v>2.2391999999999999E-2</v>
      </c>
      <c r="T19" s="26">
        <v>0.6738183333333333</v>
      </c>
      <c r="U19" s="27">
        <v>5.3425E-2</v>
      </c>
      <c r="V19" s="28">
        <v>4.4262999999999997E-2</v>
      </c>
      <c r="W19" s="25">
        <v>0.24519100000000002</v>
      </c>
      <c r="X19" s="27">
        <v>2.6141000000000001E-2</v>
      </c>
      <c r="Y19" s="27">
        <v>9.1818999999999998E-2</v>
      </c>
      <c r="Z19" s="26">
        <v>0.28246066666666664</v>
      </c>
      <c r="AA19" s="28">
        <v>0.32489466666666661</v>
      </c>
      <c r="AB19" s="29">
        <v>0</v>
      </c>
      <c r="AC19" s="27">
        <v>0</v>
      </c>
      <c r="AD19" s="27">
        <v>7.4450000000000002E-3</v>
      </c>
      <c r="AE19" s="27">
        <v>4.9616666666666672E-3</v>
      </c>
      <c r="AF19" s="26">
        <v>0.919902</v>
      </c>
      <c r="AG19" s="28">
        <v>3.8197666666666664E-2</v>
      </c>
      <c r="AH19" s="25">
        <v>0.23369500000000001</v>
      </c>
      <c r="AI19" s="26">
        <v>0.63745133333333326</v>
      </c>
      <c r="AJ19" s="27">
        <v>9.2665999999999984E-2</v>
      </c>
      <c r="AK19" s="27">
        <v>6.6940000000000012E-3</v>
      </c>
      <c r="AL19" s="28">
        <v>0</v>
      </c>
      <c r="AM19" s="25">
        <v>0.17720499999999997</v>
      </c>
      <c r="AN19" s="27">
        <v>2.2474000000000004E-2</v>
      </c>
      <c r="AO19" s="26">
        <v>0.67349233333333325</v>
      </c>
      <c r="AP19" s="27">
        <v>5.3232000000000002E-2</v>
      </c>
      <c r="AQ19" s="28">
        <v>4.4103000000000003E-2</v>
      </c>
      <c r="AR19" s="25">
        <v>0.24598299999999998</v>
      </c>
      <c r="AS19" s="27">
        <v>2.6237E-2</v>
      </c>
      <c r="AT19" s="27">
        <v>9.2146000000000006E-2</v>
      </c>
      <c r="AU19" s="26">
        <v>0.28223199999999998</v>
      </c>
      <c r="AV19" s="28">
        <v>0.3239083333333333</v>
      </c>
      <c r="AW19" s="29">
        <v>0</v>
      </c>
      <c r="AX19" s="27">
        <v>0</v>
      </c>
      <c r="AY19" s="27">
        <v>7.4720000000000003E-3</v>
      </c>
      <c r="AZ19" s="27">
        <v>4.9800000000000001E-3</v>
      </c>
      <c r="BA19" s="26">
        <v>0.9199963333333333</v>
      </c>
      <c r="BB19" s="28">
        <v>3.8058000000000002E-2</v>
      </c>
      <c r="BC19" s="25">
        <v>0.36699399999999999</v>
      </c>
      <c r="BD19" s="26">
        <v>0.54457733333333325</v>
      </c>
      <c r="BE19" s="27">
        <v>5.5032999999999999E-2</v>
      </c>
      <c r="BF19" s="27">
        <v>3.9020000000000005E-3</v>
      </c>
      <c r="BG19" s="28">
        <v>0</v>
      </c>
      <c r="BH19" s="25">
        <v>0.284721</v>
      </c>
      <c r="BI19" s="27">
        <v>3.8297999999999999E-2</v>
      </c>
      <c r="BJ19" s="26">
        <v>0.59023433333333319</v>
      </c>
      <c r="BK19" s="27">
        <v>3.134E-2</v>
      </c>
      <c r="BL19" s="28">
        <v>2.5913000000000002E-2</v>
      </c>
      <c r="BM19" s="25">
        <v>0.38433199999999995</v>
      </c>
      <c r="BN19" s="27">
        <v>4.4648E-2</v>
      </c>
      <c r="BO19" s="27">
        <v>0.15301799999999999</v>
      </c>
      <c r="BP19" s="26">
        <v>0.18472799999999998</v>
      </c>
      <c r="BQ19" s="28">
        <v>0.20378033333333334</v>
      </c>
      <c r="BR19" s="29">
        <v>0</v>
      </c>
      <c r="BS19" s="27">
        <v>0</v>
      </c>
      <c r="BT19" s="27">
        <v>1.2801999999999999E-2</v>
      </c>
      <c r="BU19" s="27">
        <v>8.5379999999999987E-3</v>
      </c>
      <c r="BV19" s="26">
        <v>0.92741933333333326</v>
      </c>
      <c r="BW19" s="28">
        <v>2.1746999999999999E-2</v>
      </c>
    </row>
    <row r="20" spans="1:75" ht="17" thickBot="1" x14ac:dyDescent="0.25">
      <c r="A20" s="66" t="s">
        <v>161</v>
      </c>
      <c r="B20" s="69">
        <v>9.6256928571428563E-2</v>
      </c>
      <c r="C20" s="71">
        <v>7.5478500000000004E-2</v>
      </c>
      <c r="D20" s="69">
        <v>0.29776118518518513</v>
      </c>
      <c r="E20" s="71">
        <v>3.8157761904761903E-2</v>
      </c>
      <c r="F20" s="69">
        <v>0.23315357142857146</v>
      </c>
      <c r="G20" s="71">
        <v>0.12170142857142857</v>
      </c>
      <c r="H20" s="69">
        <v>0.29137350000000001</v>
      </c>
      <c r="I20" s="71">
        <v>9.9361666666666678E-3</v>
      </c>
      <c r="J20" s="61"/>
      <c r="L20" s="74" t="s">
        <v>161</v>
      </c>
      <c r="M20" s="29">
        <v>0.23293700000000003</v>
      </c>
      <c r="N20" s="26">
        <v>0.63785533333333333</v>
      </c>
      <c r="O20" s="27">
        <v>9.2994999999999994E-2</v>
      </c>
      <c r="P20" s="27">
        <v>6.7190000000000001E-3</v>
      </c>
      <c r="Q20" s="28">
        <v>0</v>
      </c>
      <c r="R20" s="25">
        <v>0.17660799999999999</v>
      </c>
      <c r="S20" s="27">
        <v>2.2391999999999999E-2</v>
      </c>
      <c r="T20" s="26">
        <v>0.6738183333333333</v>
      </c>
      <c r="U20" s="27">
        <v>5.3425E-2</v>
      </c>
      <c r="V20" s="28">
        <v>4.4262999999999997E-2</v>
      </c>
      <c r="W20" s="25">
        <v>0.24519100000000002</v>
      </c>
      <c r="X20" s="27">
        <v>2.6141000000000001E-2</v>
      </c>
      <c r="Y20" s="27">
        <v>9.1818999999999998E-2</v>
      </c>
      <c r="Z20" s="26">
        <v>0.28246066666666664</v>
      </c>
      <c r="AA20" s="28">
        <v>0.32489466666666661</v>
      </c>
      <c r="AB20" s="29">
        <v>0</v>
      </c>
      <c r="AC20" s="27">
        <v>0</v>
      </c>
      <c r="AD20" s="27">
        <v>7.4450000000000002E-3</v>
      </c>
      <c r="AE20" s="27">
        <v>4.9616666666666672E-3</v>
      </c>
      <c r="AF20" s="26">
        <v>0.919902</v>
      </c>
      <c r="AG20" s="28">
        <v>3.8197666666666664E-2</v>
      </c>
      <c r="AH20" s="25">
        <v>0.23369500000000001</v>
      </c>
      <c r="AI20" s="26">
        <v>0.63745133333333326</v>
      </c>
      <c r="AJ20" s="27">
        <v>9.2665999999999984E-2</v>
      </c>
      <c r="AK20" s="27">
        <v>6.6940000000000012E-3</v>
      </c>
      <c r="AL20" s="28">
        <v>0</v>
      </c>
      <c r="AM20" s="25">
        <v>0.17720499999999997</v>
      </c>
      <c r="AN20" s="27">
        <v>2.2474000000000004E-2</v>
      </c>
      <c r="AO20" s="26">
        <v>0.67349233333333325</v>
      </c>
      <c r="AP20" s="27">
        <v>5.3232000000000002E-2</v>
      </c>
      <c r="AQ20" s="28">
        <v>4.4103000000000003E-2</v>
      </c>
      <c r="AR20" s="25">
        <v>0.24598299999999998</v>
      </c>
      <c r="AS20" s="27">
        <v>2.6237E-2</v>
      </c>
      <c r="AT20" s="27">
        <v>9.2146000000000006E-2</v>
      </c>
      <c r="AU20" s="26">
        <v>0.28223199999999998</v>
      </c>
      <c r="AV20" s="28">
        <v>0.3239083333333333</v>
      </c>
      <c r="AW20" s="29">
        <v>0</v>
      </c>
      <c r="AX20" s="27">
        <v>0</v>
      </c>
      <c r="AY20" s="27">
        <v>7.4720000000000003E-3</v>
      </c>
      <c r="AZ20" s="27">
        <v>4.9800000000000001E-3</v>
      </c>
      <c r="BA20" s="26">
        <v>0.9199963333333333</v>
      </c>
      <c r="BB20" s="28">
        <v>3.8058000000000002E-2</v>
      </c>
      <c r="BC20" s="25">
        <v>0.36699399999999999</v>
      </c>
      <c r="BD20" s="26">
        <v>0.54457733333333325</v>
      </c>
      <c r="BE20" s="27">
        <v>5.5032999999999999E-2</v>
      </c>
      <c r="BF20" s="27">
        <v>3.9020000000000005E-3</v>
      </c>
      <c r="BG20" s="28">
        <v>0</v>
      </c>
      <c r="BH20" s="25">
        <v>0.284721</v>
      </c>
      <c r="BI20" s="27">
        <v>3.8297999999999999E-2</v>
      </c>
      <c r="BJ20" s="26">
        <v>0.59023433333333319</v>
      </c>
      <c r="BK20" s="27">
        <v>3.134E-2</v>
      </c>
      <c r="BL20" s="28">
        <v>2.5913000000000002E-2</v>
      </c>
      <c r="BM20" s="25">
        <v>0.38433199999999995</v>
      </c>
      <c r="BN20" s="27">
        <v>4.4648E-2</v>
      </c>
      <c r="BO20" s="27">
        <v>0.15301799999999999</v>
      </c>
      <c r="BP20" s="26">
        <v>0.18472799999999998</v>
      </c>
      <c r="BQ20" s="28">
        <v>0.20378033333333334</v>
      </c>
      <c r="BR20" s="29">
        <v>0</v>
      </c>
      <c r="BS20" s="27">
        <v>0</v>
      </c>
      <c r="BT20" s="27">
        <v>1.2801999999999999E-2</v>
      </c>
      <c r="BU20" s="27">
        <v>8.5379999999999987E-3</v>
      </c>
      <c r="BV20" s="26">
        <v>0.92741933333333326</v>
      </c>
      <c r="BW20" s="28">
        <v>2.1746999999999999E-2</v>
      </c>
    </row>
    <row r="21" spans="1:75" ht="16" x14ac:dyDescent="0.2">
      <c r="A21" s="61"/>
      <c r="B21" s="61"/>
      <c r="C21" s="61"/>
      <c r="D21" s="61"/>
      <c r="E21" s="61"/>
      <c r="F21" s="61"/>
      <c r="G21" s="61"/>
      <c r="H21" s="61"/>
      <c r="I21" s="61"/>
      <c r="J21" s="61"/>
    </row>
    <row r="22" spans="1:75" ht="16" x14ac:dyDescent="0.2">
      <c r="A22" s="61"/>
      <c r="B22" s="61"/>
      <c r="C22" s="61"/>
      <c r="D22" s="61"/>
      <c r="E22" s="61"/>
      <c r="F22" s="61"/>
      <c r="G22" s="61"/>
      <c r="H22" s="61"/>
      <c r="I22" s="61"/>
      <c r="J22" s="61"/>
      <c r="L22" s="7"/>
    </row>
    <row r="23" spans="1:75" ht="16" x14ac:dyDescent="0.2">
      <c r="A23" s="64" t="s">
        <v>240</v>
      </c>
      <c r="B23" s="61"/>
      <c r="C23" s="61"/>
      <c r="D23" s="61"/>
      <c r="E23" s="61"/>
      <c r="F23" s="61"/>
      <c r="G23" s="61"/>
      <c r="H23" s="61"/>
      <c r="I23" s="61"/>
      <c r="J23" s="61"/>
      <c r="L23" s="7" t="s">
        <v>165</v>
      </c>
    </row>
    <row r="24" spans="1:75" ht="53.25" customHeight="1" x14ac:dyDescent="0.2">
      <c r="A24" s="65" t="s">
        <v>115</v>
      </c>
      <c r="B24" s="62" t="s">
        <v>167</v>
      </c>
      <c r="C24" s="65" t="s">
        <v>172</v>
      </c>
      <c r="D24" s="72" t="s">
        <v>178</v>
      </c>
      <c r="E24" s="65" t="s">
        <v>209</v>
      </c>
      <c r="F24" s="72" t="s">
        <v>187</v>
      </c>
      <c r="G24" s="65" t="s">
        <v>171</v>
      </c>
      <c r="H24" s="72" t="s">
        <v>177</v>
      </c>
      <c r="I24" s="65" t="s">
        <v>181</v>
      </c>
      <c r="J24" s="61"/>
      <c r="L24" s="74"/>
      <c r="M24" s="80" t="s">
        <v>195</v>
      </c>
    </row>
    <row r="25" spans="1:75" ht="16" x14ac:dyDescent="0.2">
      <c r="A25" s="66" t="s">
        <v>162</v>
      </c>
      <c r="B25" s="63">
        <f t="array" ref="B25:B40">((N50:N65+O50:O65) +N50:N65)/2</f>
        <v>0.14676349999999999</v>
      </c>
      <c r="C25" s="70">
        <f t="array" ref="C25:C40">(S50:S65*2+T50:T65)/2</f>
        <v>3.0508500000000001E-2</v>
      </c>
      <c r="D25" s="63">
        <f t="array" ref="D25:D40">X50:X65</f>
        <v>7.8895000000000007E-2</v>
      </c>
      <c r="E25" s="70">
        <f t="array" ref="E25:E40">AC50:AC65</f>
        <v>7.5533333333333323E-4</v>
      </c>
      <c r="F25" s="63">
        <f t="array" ref="F25:F40">M50:M65</f>
        <v>0.78637999999999997</v>
      </c>
      <c r="G25" s="70">
        <f t="array" ref="G25:G40">(Q50:Q65+R50:R65)/2</f>
        <v>0.1615095</v>
      </c>
      <c r="H25" s="63">
        <f t="array" ref="H25:H40">(W50:W65+2*U50:U65)/2</f>
        <v>0.46084099999999995</v>
      </c>
      <c r="I25" s="70">
        <f t="array" ref="I25:I40">(AB50:AB65+2*AA50:AA65)/2</f>
        <v>0.12066450000000001</v>
      </c>
      <c r="J25" s="61"/>
      <c r="L25" s="74" t="s">
        <v>15</v>
      </c>
      <c r="M25" s="74">
        <f>0.5/0.7</f>
        <v>0.7142857142857143</v>
      </c>
      <c r="N25" s="30" t="s">
        <v>193</v>
      </c>
    </row>
    <row r="26" spans="1:75" ht="16" x14ac:dyDescent="0.2">
      <c r="A26" s="68" t="s">
        <v>163</v>
      </c>
      <c r="B26" s="63">
        <v>0.14676349999999999</v>
      </c>
      <c r="C26" s="70">
        <v>3.0508500000000001E-2</v>
      </c>
      <c r="D26" s="63">
        <v>7.8895000000000007E-2</v>
      </c>
      <c r="E26" s="70">
        <v>7.5533333333333323E-4</v>
      </c>
      <c r="F26" s="63">
        <v>0.78637999999999997</v>
      </c>
      <c r="G26" s="70">
        <v>0.1615095</v>
      </c>
      <c r="H26" s="63">
        <v>0.46084099999999995</v>
      </c>
      <c r="I26" s="70">
        <v>0.12066450000000001</v>
      </c>
      <c r="J26" s="61"/>
      <c r="L26" s="74" t="s">
        <v>63</v>
      </c>
      <c r="M26" s="74">
        <f>0.2/0.7</f>
        <v>0.28571428571428575</v>
      </c>
      <c r="N26" s="30" t="s">
        <v>194</v>
      </c>
    </row>
    <row r="27" spans="1:75" ht="16" x14ac:dyDescent="0.2">
      <c r="A27" s="68" t="s">
        <v>158</v>
      </c>
      <c r="B27" s="63">
        <v>0.14676349999999999</v>
      </c>
      <c r="C27" s="70">
        <v>3.0508500000000001E-2</v>
      </c>
      <c r="D27" s="63">
        <v>7.8895000000000007E-2</v>
      </c>
      <c r="E27" s="70">
        <v>7.5533333333333323E-4</v>
      </c>
      <c r="F27" s="63">
        <v>0.78637999999999997</v>
      </c>
      <c r="G27" s="70">
        <v>0.1615095</v>
      </c>
      <c r="H27" s="63">
        <v>0.46084099999999995</v>
      </c>
      <c r="I27" s="70">
        <v>0.12066450000000001</v>
      </c>
      <c r="J27" s="61"/>
      <c r="L27" s="74" t="s">
        <v>175</v>
      </c>
      <c r="M27" s="74">
        <f>0</f>
        <v>0</v>
      </c>
    </row>
    <row r="28" spans="1:75" ht="16" x14ac:dyDescent="0.2">
      <c r="A28" s="66" t="s">
        <v>97</v>
      </c>
      <c r="B28" s="63">
        <v>0.14676349999999999</v>
      </c>
      <c r="C28" s="70">
        <v>3.0508500000000001E-2</v>
      </c>
      <c r="D28" s="63">
        <v>7.8895000000000007E-2</v>
      </c>
      <c r="E28" s="70">
        <v>7.5533333333333323E-4</v>
      </c>
      <c r="F28" s="63">
        <v>0.78637999999999997</v>
      </c>
      <c r="G28" s="70">
        <v>0.1615095</v>
      </c>
      <c r="H28" s="63">
        <v>0.46084099999999995</v>
      </c>
      <c r="I28" s="70">
        <v>0.12066450000000001</v>
      </c>
      <c r="J28" s="61"/>
    </row>
    <row r="29" spans="1:75" ht="16" x14ac:dyDescent="0.2">
      <c r="A29" s="66" t="s">
        <v>98</v>
      </c>
      <c r="B29" s="63">
        <v>0.14676349999999999</v>
      </c>
      <c r="C29" s="70">
        <v>3.0508500000000001E-2</v>
      </c>
      <c r="D29" s="63">
        <v>7.8895000000000007E-2</v>
      </c>
      <c r="E29" s="70">
        <v>7.5533333333333323E-4</v>
      </c>
      <c r="F29" s="63">
        <v>0.78637999999999997</v>
      </c>
      <c r="G29" s="70">
        <v>0.1615095</v>
      </c>
      <c r="H29" s="63">
        <v>0.46084099999999995</v>
      </c>
      <c r="I29" s="70">
        <v>0.12066450000000001</v>
      </c>
      <c r="J29" s="61"/>
    </row>
    <row r="30" spans="1:75" ht="51" x14ac:dyDescent="0.2">
      <c r="A30" s="66" t="s">
        <v>159</v>
      </c>
      <c r="B30" s="63">
        <v>7.678299999999999E-2</v>
      </c>
      <c r="C30" s="70">
        <v>3.5521374999999994E-2</v>
      </c>
      <c r="D30" s="63">
        <v>0.1312325</v>
      </c>
      <c r="E30" s="70">
        <v>8.0052500000000002E-3</v>
      </c>
      <c r="F30" s="63">
        <v>0.62775775</v>
      </c>
      <c r="G30" s="70">
        <v>0.1615095</v>
      </c>
      <c r="H30" s="63">
        <v>0.460841</v>
      </c>
      <c r="I30" s="70">
        <v>9.0632875000000002E-2</v>
      </c>
      <c r="J30" s="61"/>
      <c r="L30" s="79" t="s">
        <v>115</v>
      </c>
      <c r="M30" s="79" t="s">
        <v>166</v>
      </c>
      <c r="N30" s="79" t="s">
        <v>167</v>
      </c>
      <c r="O30" s="79" t="s">
        <v>168</v>
      </c>
      <c r="P30" s="79" t="s">
        <v>169</v>
      </c>
      <c r="Q30" s="79" t="s">
        <v>170</v>
      </c>
      <c r="R30" s="79" t="s">
        <v>171</v>
      </c>
      <c r="S30" s="79" t="s">
        <v>172</v>
      </c>
      <c r="T30" s="79" t="s">
        <v>173</v>
      </c>
      <c r="U30" s="79" t="s">
        <v>174</v>
      </c>
      <c r="V30" s="79" t="s">
        <v>176</v>
      </c>
      <c r="W30" s="79" t="s">
        <v>177</v>
      </c>
      <c r="X30" s="79" t="s">
        <v>178</v>
      </c>
      <c r="Y30" s="79" t="s">
        <v>179</v>
      </c>
      <c r="Z30" s="79" t="s">
        <v>180</v>
      </c>
      <c r="AA30" s="79" t="s">
        <v>182</v>
      </c>
      <c r="AB30" s="79" t="s">
        <v>181</v>
      </c>
      <c r="AC30" s="65" t="s">
        <v>209</v>
      </c>
    </row>
    <row r="31" spans="1:75" ht="16" x14ac:dyDescent="0.2">
      <c r="A31" s="66" t="s">
        <v>3</v>
      </c>
      <c r="B31" s="63">
        <v>7.678299999999999E-2</v>
      </c>
      <c r="C31" s="70">
        <v>3.5521374999999994E-2</v>
      </c>
      <c r="D31" s="63">
        <v>0.1312325</v>
      </c>
      <c r="E31" s="70">
        <v>8.0052500000000002E-3</v>
      </c>
      <c r="F31" s="63">
        <v>0.62775775</v>
      </c>
      <c r="G31" s="70">
        <v>0.1615095</v>
      </c>
      <c r="H31" s="63">
        <v>0.460841</v>
      </c>
      <c r="I31" s="70">
        <v>9.0632875000000002E-2</v>
      </c>
      <c r="J31" s="61"/>
      <c r="L31" s="74" t="s">
        <v>162</v>
      </c>
      <c r="M31" s="5">
        <f t="array" ref="M31:M46">M25*M5:M20+M26*AH5:AH20+M27*BC5:BC20</f>
        <v>0.59184142857142863</v>
      </c>
      <c r="N31" s="5">
        <f t="array" ref="N31:N46">M25*O5:O20+M26*AJ5:AJ20+M27*BE5:BE20</f>
        <v>0.20884085714285716</v>
      </c>
      <c r="O31" s="5">
        <f t="array" ref="O31:O46">M25*P5:P20+M26*AK5:AK20+M27*BF5:BF20</f>
        <v>6.6595428571428569E-2</v>
      </c>
      <c r="P31" s="5">
        <f t="array" ref="P31:P46">M25*Q5:Q20+M26*AL5:AL20+M27*BG5:BG20</f>
        <v>0</v>
      </c>
      <c r="Q31" s="5">
        <f t="array" ref="Q31:Q46">M25*R5:R20+M26*AM5:AM20+M27*BH5:BH20</f>
        <v>0.17677857142857142</v>
      </c>
      <c r="R31" s="5">
        <f t="array" ref="R31:R46">M25*S5:S20+M26*AM5:AM20+M27*BH5:BH20</f>
        <v>6.6624285714285719E-2</v>
      </c>
      <c r="S31" s="5">
        <f t="array" ref="S31:S46">M25*U5:U20+M26*AP5:AP20+M27*BK5:BK20</f>
        <v>3.4775714285714292E-2</v>
      </c>
      <c r="T31" s="5">
        <f t="array" ref="T31:T46">M25*V5:V20+M26*AQ5:AQ20+M27*BL5:BL20</f>
        <v>3.4775714285714292E-2</v>
      </c>
      <c r="U31" s="5">
        <f t="array" ref="U31:U46">M25*W5:W20+M26*AR5:AR20+M27*BM5:BM20</f>
        <v>0.24541728571428573</v>
      </c>
      <c r="V31" s="5">
        <f t="array" ref="V31:V46">M25*X5:X20+M26*AS5:AS20+M27*BN5:BN20</f>
        <v>2.6168428571428575E-2</v>
      </c>
      <c r="W31" s="5">
        <f t="array" ref="W31:W46">M25*Y5:Y20+M26*AT5:AT20+M27*BO5:BO20</f>
        <v>9.1912428571428589E-2</v>
      </c>
      <c r="X31" s="5">
        <f t="array" ref="X31:X46">M25*AA5:AA20+M26*AV5:AV20+M27*BQ5:BQ20</f>
        <v>0.13199642857142857</v>
      </c>
      <c r="Y31" s="5">
        <f t="array" ref="Y31:Y46">M25*AB5:AB20+M26*AW5:AW20+M27*BR5:BR20</f>
        <v>0</v>
      </c>
      <c r="Z31" s="5">
        <f t="array" ref="Z31:Z46">M25*AB5:AB20+M26*AX5:AX20+M27*BS5:BS20</f>
        <v>0</v>
      </c>
      <c r="AA31" s="5">
        <f t="array" ref="AA31:AA46">M25*AD5:AD20+M26*AY5:AY20+M27*BT5:BT20</f>
        <v>5.2580571428571428E-2</v>
      </c>
      <c r="AB31" s="5">
        <f t="array" ref="AB31:AB46">M25*AE5:AE20+M26*AZ5:AZ20+M27*BU5:BU20</f>
        <v>3.7457142857142862E-2</v>
      </c>
      <c r="AC31" s="76">
        <f t="array" ref="AC31:AC46">M25*AG5:AG20+M26*BB5:BB20+M27*BW5:BW20</f>
        <v>1.3352380952380953E-3</v>
      </c>
    </row>
    <row r="32" spans="1:75" ht="16" x14ac:dyDescent="0.2">
      <c r="A32" s="66" t="s">
        <v>4</v>
      </c>
      <c r="B32" s="63">
        <v>7.678299999999999E-2</v>
      </c>
      <c r="C32" s="70">
        <v>3.5521374999999994E-2</v>
      </c>
      <c r="D32" s="63">
        <v>0.1312325</v>
      </c>
      <c r="E32" s="70">
        <v>8.0052500000000002E-3</v>
      </c>
      <c r="F32" s="63">
        <v>0.62775775</v>
      </c>
      <c r="G32" s="70">
        <v>0.1615095</v>
      </c>
      <c r="H32" s="63">
        <v>0.460841</v>
      </c>
      <c r="I32" s="70">
        <v>9.0632875000000002E-2</v>
      </c>
      <c r="J32" s="61"/>
      <c r="L32" s="75" t="s">
        <v>163</v>
      </c>
      <c r="M32" s="5">
        <v>0.59184142857142863</v>
      </c>
      <c r="N32" s="5">
        <v>0.20884085714285716</v>
      </c>
      <c r="O32" s="5">
        <v>6.6595428571428569E-2</v>
      </c>
      <c r="P32" s="5">
        <v>0</v>
      </c>
      <c r="Q32" s="5">
        <v>0.17677857142857142</v>
      </c>
      <c r="R32" s="5">
        <v>6.6624285714285719E-2</v>
      </c>
      <c r="S32" s="5">
        <v>3.4775714285714292E-2</v>
      </c>
      <c r="T32" s="5">
        <v>3.4775714285714292E-2</v>
      </c>
      <c r="U32" s="5">
        <v>0.24541728571428573</v>
      </c>
      <c r="V32" s="5">
        <v>2.6168428571428575E-2</v>
      </c>
      <c r="W32" s="5">
        <v>9.1912428571428589E-2</v>
      </c>
      <c r="X32" s="5">
        <v>0.13199642857142857</v>
      </c>
      <c r="Y32" s="5">
        <v>0</v>
      </c>
      <c r="Z32" s="5">
        <v>0</v>
      </c>
      <c r="AA32" s="5">
        <v>5.2580571428571428E-2</v>
      </c>
      <c r="AB32" s="5">
        <v>3.7457142857142862E-2</v>
      </c>
      <c r="AC32" s="76">
        <v>1.3352380952380953E-3</v>
      </c>
    </row>
    <row r="33" spans="1:29" ht="16" x14ac:dyDescent="0.2">
      <c r="A33" s="66" t="s">
        <v>5</v>
      </c>
      <c r="B33" s="63">
        <v>7.678299999999999E-2</v>
      </c>
      <c r="C33" s="70">
        <v>3.5521374999999994E-2</v>
      </c>
      <c r="D33" s="63">
        <v>0.1312325</v>
      </c>
      <c r="E33" s="70">
        <v>8.0052500000000002E-3</v>
      </c>
      <c r="F33" s="63">
        <v>0.62775775</v>
      </c>
      <c r="G33" s="70">
        <v>0.1615095</v>
      </c>
      <c r="H33" s="63">
        <v>0.460841</v>
      </c>
      <c r="I33" s="70">
        <v>9.0632875000000002E-2</v>
      </c>
      <c r="J33" s="61"/>
      <c r="L33" s="75" t="s">
        <v>158</v>
      </c>
      <c r="M33" s="5">
        <v>0.59184142857142863</v>
      </c>
      <c r="N33" s="5">
        <v>0.20884085714285716</v>
      </c>
      <c r="O33" s="5">
        <v>6.6595428571428569E-2</v>
      </c>
      <c r="P33" s="5">
        <v>0</v>
      </c>
      <c r="Q33" s="5">
        <v>0.17677857142857142</v>
      </c>
      <c r="R33" s="5">
        <v>6.6624285714285719E-2</v>
      </c>
      <c r="S33" s="5">
        <v>3.4775714285714292E-2</v>
      </c>
      <c r="T33" s="5">
        <v>3.4775714285714292E-2</v>
      </c>
      <c r="U33" s="5">
        <v>0.24541728571428573</v>
      </c>
      <c r="V33" s="5">
        <v>2.6168428571428575E-2</v>
      </c>
      <c r="W33" s="5">
        <v>9.1912428571428589E-2</v>
      </c>
      <c r="X33" s="5">
        <v>0.13199642857142857</v>
      </c>
      <c r="Y33" s="5">
        <v>0</v>
      </c>
      <c r="Z33" s="5">
        <v>0</v>
      </c>
      <c r="AA33" s="5">
        <v>5.2580571428571428E-2</v>
      </c>
      <c r="AB33" s="5">
        <v>3.7457142857142862E-2</v>
      </c>
      <c r="AC33" s="76">
        <v>1.3352380952380953E-3</v>
      </c>
    </row>
    <row r="34" spans="1:29" ht="16" x14ac:dyDescent="0.2">
      <c r="A34" s="66" t="s">
        <v>6</v>
      </c>
      <c r="B34" s="63">
        <v>7.678299999999999E-2</v>
      </c>
      <c r="C34" s="70">
        <v>3.5521374999999994E-2</v>
      </c>
      <c r="D34" s="63">
        <v>0.1312325</v>
      </c>
      <c r="E34" s="70">
        <v>8.0052500000000002E-3</v>
      </c>
      <c r="F34" s="63">
        <v>0.62775775</v>
      </c>
      <c r="G34" s="70">
        <v>0.1615095</v>
      </c>
      <c r="H34" s="63">
        <v>0.460841</v>
      </c>
      <c r="I34" s="70">
        <v>9.0632875000000002E-2</v>
      </c>
      <c r="J34" s="61"/>
      <c r="L34" s="74" t="s">
        <v>97</v>
      </c>
      <c r="M34" s="5">
        <v>0.59184142857142863</v>
      </c>
      <c r="N34" s="5">
        <v>0.20884085714285716</v>
      </c>
      <c r="O34" s="5">
        <v>6.6595428571428569E-2</v>
      </c>
      <c r="P34" s="5">
        <v>0</v>
      </c>
      <c r="Q34" s="5">
        <v>0.17677857142857142</v>
      </c>
      <c r="R34" s="5">
        <v>6.6624285714285719E-2</v>
      </c>
      <c r="S34" s="5">
        <v>3.4775714285714292E-2</v>
      </c>
      <c r="T34" s="5">
        <v>3.4775714285714292E-2</v>
      </c>
      <c r="U34" s="5">
        <v>0.24541728571428573</v>
      </c>
      <c r="V34" s="5">
        <v>2.6168428571428575E-2</v>
      </c>
      <c r="W34" s="5">
        <v>9.1912428571428589E-2</v>
      </c>
      <c r="X34" s="5">
        <v>0.13199642857142857</v>
      </c>
      <c r="Y34" s="5">
        <v>0</v>
      </c>
      <c r="Z34" s="5">
        <v>0</v>
      </c>
      <c r="AA34" s="5">
        <v>5.2580571428571428E-2</v>
      </c>
      <c r="AB34" s="5">
        <v>3.7457142857142862E-2</v>
      </c>
      <c r="AC34" s="76">
        <v>1.3352380952380953E-3</v>
      </c>
    </row>
    <row r="35" spans="1:29" ht="16" x14ac:dyDescent="0.2">
      <c r="A35" s="66" t="s">
        <v>99</v>
      </c>
      <c r="B35" s="63">
        <v>5.6984E-2</v>
      </c>
      <c r="C35" s="70">
        <v>4.4296500000000003E-2</v>
      </c>
      <c r="D35" s="63">
        <v>0.17620050000000001</v>
      </c>
      <c r="E35" s="70">
        <v>1.8433249999999998E-2</v>
      </c>
      <c r="F35" s="63">
        <v>0.40971574999999999</v>
      </c>
      <c r="G35" s="70">
        <v>0.1615095</v>
      </c>
      <c r="H35" s="63">
        <v>0.460841</v>
      </c>
      <c r="I35" s="70">
        <v>3.3547999999999994E-2</v>
      </c>
      <c r="J35" s="61"/>
      <c r="L35" s="74" t="s">
        <v>98</v>
      </c>
      <c r="M35" s="5">
        <v>0.59184142857142863</v>
      </c>
      <c r="N35" s="5">
        <v>0.20884085714285716</v>
      </c>
      <c r="O35" s="5">
        <v>6.6595428571428569E-2</v>
      </c>
      <c r="P35" s="5">
        <v>0</v>
      </c>
      <c r="Q35" s="5">
        <v>0.17677857142857142</v>
      </c>
      <c r="R35" s="5">
        <v>6.6624285714285719E-2</v>
      </c>
      <c r="S35" s="5">
        <v>3.4775714285714292E-2</v>
      </c>
      <c r="T35" s="5">
        <v>3.4775714285714292E-2</v>
      </c>
      <c r="U35" s="5">
        <v>0.24541728571428573</v>
      </c>
      <c r="V35" s="5">
        <v>2.6168428571428575E-2</v>
      </c>
      <c r="W35" s="5">
        <v>9.1912428571428589E-2</v>
      </c>
      <c r="X35" s="5">
        <v>0.13199642857142857</v>
      </c>
      <c r="Y35" s="5">
        <v>0</v>
      </c>
      <c r="Z35" s="5">
        <v>0</v>
      </c>
      <c r="AA35" s="5">
        <v>5.2580571428571428E-2</v>
      </c>
      <c r="AB35" s="5">
        <v>3.7457142857142862E-2</v>
      </c>
      <c r="AC35" s="76">
        <v>1.3352380952380953E-3</v>
      </c>
    </row>
    <row r="36" spans="1:29" ht="16" x14ac:dyDescent="0.2">
      <c r="A36" s="66" t="s">
        <v>100</v>
      </c>
      <c r="B36" s="63">
        <v>5.6984E-2</v>
      </c>
      <c r="C36" s="70">
        <v>4.4296500000000003E-2</v>
      </c>
      <c r="D36" s="63">
        <v>0.17620050000000001</v>
      </c>
      <c r="E36" s="70">
        <v>1.8433249999999998E-2</v>
      </c>
      <c r="F36" s="63">
        <v>0.40971574999999999</v>
      </c>
      <c r="G36" s="70">
        <v>0.1615095</v>
      </c>
      <c r="H36" s="63">
        <v>0.460841</v>
      </c>
      <c r="I36" s="70">
        <v>3.3547999999999994E-2</v>
      </c>
      <c r="J36" s="61"/>
      <c r="L36" s="74" t="s">
        <v>159</v>
      </c>
      <c r="M36" s="5">
        <v>0.43680510714285714</v>
      </c>
      <c r="N36" s="5">
        <v>0.11901342857142858</v>
      </c>
      <c r="O36" s="5">
        <v>2.0095714285714286E-2</v>
      </c>
      <c r="P36" s="5">
        <v>0</v>
      </c>
      <c r="Q36" s="5">
        <v>0.17677857142857142</v>
      </c>
      <c r="R36" s="5">
        <v>6.6624285714285719E-2</v>
      </c>
      <c r="S36" s="5">
        <v>4.0098285714285718E-2</v>
      </c>
      <c r="T36" s="5">
        <v>4.1128035714285714E-2</v>
      </c>
      <c r="U36" s="5">
        <v>0.24541728571428573</v>
      </c>
      <c r="V36" s="5">
        <v>2.6168428571428575E-2</v>
      </c>
      <c r="W36" s="5">
        <v>9.1912428571428589E-2</v>
      </c>
      <c r="X36" s="5">
        <v>0.21510314285714285</v>
      </c>
      <c r="Y36" s="5">
        <v>0</v>
      </c>
      <c r="Z36" s="5">
        <v>0</v>
      </c>
      <c r="AA36" s="5">
        <v>3.7497999999999997E-2</v>
      </c>
      <c r="AB36" s="5">
        <v>3.182385714285714E-2</v>
      </c>
      <c r="AC36" s="76">
        <v>1.4111071428571429E-2</v>
      </c>
    </row>
    <row r="37" spans="1:29" ht="16" x14ac:dyDescent="0.2">
      <c r="A37" s="66" t="s">
        <v>110</v>
      </c>
      <c r="B37" s="63">
        <v>5.6984E-2</v>
      </c>
      <c r="C37" s="70">
        <v>4.4296500000000003E-2</v>
      </c>
      <c r="D37" s="63">
        <v>0.17620050000000001</v>
      </c>
      <c r="E37" s="70">
        <v>1.8433249999999998E-2</v>
      </c>
      <c r="F37" s="63">
        <v>0.40971574999999999</v>
      </c>
      <c r="G37" s="70">
        <v>0.1615095</v>
      </c>
      <c r="H37" s="63">
        <v>0.460841</v>
      </c>
      <c r="I37" s="70">
        <v>3.3547999999999994E-2</v>
      </c>
      <c r="J37" s="61"/>
      <c r="L37" s="74" t="s">
        <v>3</v>
      </c>
      <c r="M37" s="5">
        <v>0.43680510714285714</v>
      </c>
      <c r="N37" s="5">
        <v>0.11901342857142858</v>
      </c>
      <c r="O37" s="5">
        <v>2.0095714285714286E-2</v>
      </c>
      <c r="P37" s="5">
        <v>0</v>
      </c>
      <c r="Q37" s="5">
        <v>0.17677857142857142</v>
      </c>
      <c r="R37" s="5">
        <v>6.6624285714285719E-2</v>
      </c>
      <c r="S37" s="5">
        <v>4.0098285714285718E-2</v>
      </c>
      <c r="T37" s="5">
        <v>4.1128035714285714E-2</v>
      </c>
      <c r="U37" s="5">
        <v>0.24541728571428573</v>
      </c>
      <c r="V37" s="5">
        <v>2.6168428571428575E-2</v>
      </c>
      <c r="W37" s="5">
        <v>9.1912428571428589E-2</v>
      </c>
      <c r="X37" s="5">
        <v>0.21510314285714285</v>
      </c>
      <c r="Y37" s="5">
        <v>0</v>
      </c>
      <c r="Z37" s="5">
        <v>0</v>
      </c>
      <c r="AA37" s="5">
        <v>3.7497999999999997E-2</v>
      </c>
      <c r="AB37" s="5">
        <v>3.182385714285714E-2</v>
      </c>
      <c r="AC37" s="76">
        <v>1.4111071428571429E-2</v>
      </c>
    </row>
    <row r="38" spans="1:29" ht="16" x14ac:dyDescent="0.2">
      <c r="A38" s="66" t="s">
        <v>111</v>
      </c>
      <c r="B38" s="63">
        <v>5.6984E-2</v>
      </c>
      <c r="C38" s="70">
        <v>4.4296500000000003E-2</v>
      </c>
      <c r="D38" s="63">
        <v>0.17620050000000001</v>
      </c>
      <c r="E38" s="70">
        <v>1.8433249999999998E-2</v>
      </c>
      <c r="F38" s="63">
        <v>0.40971574999999999</v>
      </c>
      <c r="G38" s="70">
        <v>0.1615095</v>
      </c>
      <c r="H38" s="63">
        <v>0.460841</v>
      </c>
      <c r="I38" s="70">
        <v>3.3547999999999994E-2</v>
      </c>
      <c r="J38" s="61"/>
      <c r="L38" s="74" t="s">
        <v>4</v>
      </c>
      <c r="M38" s="5">
        <v>0.43680510714285714</v>
      </c>
      <c r="N38" s="5">
        <v>0.11901342857142858</v>
      </c>
      <c r="O38" s="5">
        <v>2.0095714285714286E-2</v>
      </c>
      <c r="P38" s="5">
        <v>0</v>
      </c>
      <c r="Q38" s="5">
        <v>0.17677857142857142</v>
      </c>
      <c r="R38" s="5">
        <v>6.6624285714285719E-2</v>
      </c>
      <c r="S38" s="5">
        <v>4.0098285714285718E-2</v>
      </c>
      <c r="T38" s="5">
        <v>4.1128035714285714E-2</v>
      </c>
      <c r="U38" s="5">
        <v>0.24541728571428573</v>
      </c>
      <c r="V38" s="5">
        <v>2.6168428571428575E-2</v>
      </c>
      <c r="W38" s="5">
        <v>9.1912428571428589E-2</v>
      </c>
      <c r="X38" s="5">
        <v>0.21510314285714285</v>
      </c>
      <c r="Y38" s="5">
        <v>0</v>
      </c>
      <c r="Z38" s="5">
        <v>0</v>
      </c>
      <c r="AA38" s="5">
        <v>3.7497999999999997E-2</v>
      </c>
      <c r="AB38" s="5">
        <v>3.182385714285714E-2</v>
      </c>
      <c r="AC38" s="76">
        <v>1.4111071428571429E-2</v>
      </c>
    </row>
    <row r="39" spans="1:29" ht="16" x14ac:dyDescent="0.2">
      <c r="A39" s="66" t="s">
        <v>160</v>
      </c>
      <c r="B39" s="63">
        <v>5.6984E-2</v>
      </c>
      <c r="C39" s="70">
        <v>4.4296500000000003E-2</v>
      </c>
      <c r="D39" s="63">
        <v>0.20378033333333334</v>
      </c>
      <c r="E39" s="70">
        <v>2.1746999999999999E-2</v>
      </c>
      <c r="F39" s="63">
        <v>0.36699399999999999</v>
      </c>
      <c r="G39" s="70">
        <v>0.1615095</v>
      </c>
      <c r="H39" s="63">
        <v>0.46084099999999995</v>
      </c>
      <c r="I39" s="70">
        <v>1.7070999999999999E-2</v>
      </c>
      <c r="J39" s="61"/>
      <c r="L39" s="74" t="s">
        <v>5</v>
      </c>
      <c r="M39" s="5">
        <v>0.43680510714285714</v>
      </c>
      <c r="N39" s="5">
        <v>0.11901342857142858</v>
      </c>
      <c r="O39" s="5">
        <v>2.0095714285714286E-2</v>
      </c>
      <c r="P39" s="5">
        <v>0</v>
      </c>
      <c r="Q39" s="5">
        <v>0.17677857142857142</v>
      </c>
      <c r="R39" s="5">
        <v>6.6624285714285719E-2</v>
      </c>
      <c r="S39" s="5">
        <v>4.0098285714285718E-2</v>
      </c>
      <c r="T39" s="5">
        <v>4.1128035714285714E-2</v>
      </c>
      <c r="U39" s="5">
        <v>0.24541728571428573</v>
      </c>
      <c r="V39" s="5">
        <v>2.6168428571428575E-2</v>
      </c>
      <c r="W39" s="5">
        <v>9.1912428571428589E-2</v>
      </c>
      <c r="X39" s="5">
        <v>0.21510314285714285</v>
      </c>
      <c r="Y39" s="5">
        <v>0</v>
      </c>
      <c r="Z39" s="5">
        <v>0</v>
      </c>
      <c r="AA39" s="5">
        <v>3.7497999999999997E-2</v>
      </c>
      <c r="AB39" s="5">
        <v>3.182385714285714E-2</v>
      </c>
      <c r="AC39" s="76">
        <v>1.4111071428571429E-2</v>
      </c>
    </row>
    <row r="40" spans="1:29" ht="16" x14ac:dyDescent="0.2">
      <c r="A40" s="66" t="s">
        <v>161</v>
      </c>
      <c r="B40" s="69">
        <v>5.6984E-2</v>
      </c>
      <c r="C40" s="71">
        <v>4.4296500000000003E-2</v>
      </c>
      <c r="D40" s="69">
        <v>0.20378033333333334</v>
      </c>
      <c r="E40" s="71">
        <v>2.1746999999999999E-2</v>
      </c>
      <c r="F40" s="69">
        <v>0.36699399999999999</v>
      </c>
      <c r="G40" s="71">
        <v>0.1615095</v>
      </c>
      <c r="H40" s="69">
        <v>0.46084099999999995</v>
      </c>
      <c r="I40" s="71">
        <v>1.7070999999999999E-2</v>
      </c>
      <c r="J40" s="61"/>
      <c r="L40" s="74" t="s">
        <v>6</v>
      </c>
      <c r="M40" s="5">
        <v>0.43680510714285714</v>
      </c>
      <c r="N40" s="5">
        <v>0.11901342857142858</v>
      </c>
      <c r="O40" s="5">
        <v>2.0095714285714286E-2</v>
      </c>
      <c r="P40" s="5">
        <v>0</v>
      </c>
      <c r="Q40" s="5">
        <v>0.17677857142857142</v>
      </c>
      <c r="R40" s="5">
        <v>6.6624285714285719E-2</v>
      </c>
      <c r="S40" s="5">
        <v>4.0098285714285718E-2</v>
      </c>
      <c r="T40" s="5">
        <v>4.1128035714285714E-2</v>
      </c>
      <c r="U40" s="5">
        <v>0.24541728571428573</v>
      </c>
      <c r="V40" s="5">
        <v>2.6168428571428575E-2</v>
      </c>
      <c r="W40" s="5">
        <v>9.1912428571428589E-2</v>
      </c>
      <c r="X40" s="5">
        <v>0.21510314285714285</v>
      </c>
      <c r="Y40" s="5">
        <v>0</v>
      </c>
      <c r="Z40" s="5">
        <v>0</v>
      </c>
      <c r="AA40" s="5">
        <v>3.7497999999999997E-2</v>
      </c>
      <c r="AB40" s="5">
        <v>3.182385714285714E-2</v>
      </c>
      <c r="AC40" s="76">
        <v>1.4111071428571429E-2</v>
      </c>
    </row>
    <row r="41" spans="1:29" ht="16" x14ac:dyDescent="0.2">
      <c r="J41" s="61"/>
      <c r="L41" s="74" t="s">
        <v>99</v>
      </c>
      <c r="M41" s="5">
        <v>0.2642221785714286</v>
      </c>
      <c r="N41" s="5">
        <v>9.2900999999999997E-2</v>
      </c>
      <c r="O41" s="5">
        <v>6.7118571428571427E-3</v>
      </c>
      <c r="P41" s="5">
        <v>0</v>
      </c>
      <c r="Q41" s="5">
        <v>0.17677857142857142</v>
      </c>
      <c r="R41" s="5">
        <v>6.6624285714285719E-2</v>
      </c>
      <c r="S41" s="5">
        <v>5.3369857142857142E-2</v>
      </c>
      <c r="T41" s="5">
        <v>4.4217285714285723E-2</v>
      </c>
      <c r="U41" s="5">
        <v>0.24541728571428573</v>
      </c>
      <c r="V41" s="5">
        <v>2.6168428571428575E-2</v>
      </c>
      <c r="W41" s="5">
        <v>9.1912428571428589E-2</v>
      </c>
      <c r="X41" s="5">
        <v>0.28376689285714291</v>
      </c>
      <c r="Y41" s="5">
        <v>0</v>
      </c>
      <c r="Z41" s="5">
        <v>0</v>
      </c>
      <c r="AA41" s="5">
        <v>1.4934071428571428E-2</v>
      </c>
      <c r="AB41" s="5">
        <v>9.3192142857142866E-3</v>
      </c>
      <c r="AC41" s="76">
        <v>3.2381464285714284E-2</v>
      </c>
    </row>
    <row r="42" spans="1:29" ht="16" x14ac:dyDescent="0.2">
      <c r="J42" s="61"/>
      <c r="L42" s="74" t="s">
        <v>100</v>
      </c>
      <c r="M42" s="5">
        <v>0.2642221785714286</v>
      </c>
      <c r="N42" s="5">
        <v>9.2900999999999997E-2</v>
      </c>
      <c r="O42" s="5">
        <v>6.7118571428571427E-3</v>
      </c>
      <c r="P42" s="5">
        <v>0</v>
      </c>
      <c r="Q42" s="5">
        <v>0.17677857142857142</v>
      </c>
      <c r="R42" s="5">
        <v>6.6624285714285719E-2</v>
      </c>
      <c r="S42" s="5">
        <v>5.3369857142857142E-2</v>
      </c>
      <c r="T42" s="5">
        <v>4.4217285714285723E-2</v>
      </c>
      <c r="U42" s="5">
        <v>0.24541728571428573</v>
      </c>
      <c r="V42" s="5">
        <v>2.6168428571428575E-2</v>
      </c>
      <c r="W42" s="5">
        <v>9.1912428571428589E-2</v>
      </c>
      <c r="X42" s="5">
        <v>0.28376689285714291</v>
      </c>
      <c r="Y42" s="5">
        <v>0</v>
      </c>
      <c r="Z42" s="5">
        <v>0</v>
      </c>
      <c r="AA42" s="5">
        <v>1.4934071428571428E-2</v>
      </c>
      <c r="AB42" s="5">
        <v>9.3192142857142866E-3</v>
      </c>
      <c r="AC42" s="76">
        <v>3.2381464285714284E-2</v>
      </c>
    </row>
    <row r="43" spans="1:29" ht="16" x14ac:dyDescent="0.2">
      <c r="A43" s="64" t="s">
        <v>241</v>
      </c>
      <c r="B43" s="61"/>
      <c r="C43" s="61"/>
      <c r="D43" s="61"/>
      <c r="E43" s="61"/>
      <c r="F43" s="61"/>
      <c r="G43" s="61"/>
      <c r="H43" s="61"/>
      <c r="I43" s="61"/>
      <c r="J43" s="61"/>
      <c r="L43" s="74" t="s">
        <v>110</v>
      </c>
      <c r="M43" s="5">
        <v>0.2642221785714286</v>
      </c>
      <c r="N43" s="5">
        <v>9.2900999999999997E-2</v>
      </c>
      <c r="O43" s="5">
        <v>6.7118571428571427E-3</v>
      </c>
      <c r="P43" s="5">
        <v>0</v>
      </c>
      <c r="Q43" s="5">
        <v>0.17677857142857142</v>
      </c>
      <c r="R43" s="5">
        <v>6.6624285714285719E-2</v>
      </c>
      <c r="S43" s="5">
        <v>5.3369857142857142E-2</v>
      </c>
      <c r="T43" s="5">
        <v>4.4217285714285723E-2</v>
      </c>
      <c r="U43" s="5">
        <v>0.24541728571428573</v>
      </c>
      <c r="V43" s="5">
        <v>2.6168428571428575E-2</v>
      </c>
      <c r="W43" s="5">
        <v>9.1912428571428589E-2</v>
      </c>
      <c r="X43" s="5">
        <v>0.28376689285714291</v>
      </c>
      <c r="Y43" s="5">
        <v>0</v>
      </c>
      <c r="Z43" s="5">
        <v>0</v>
      </c>
      <c r="AA43" s="5">
        <v>1.4934071428571428E-2</v>
      </c>
      <c r="AB43" s="5">
        <v>9.3192142857142866E-3</v>
      </c>
      <c r="AC43" s="76">
        <v>3.2381464285714284E-2</v>
      </c>
    </row>
    <row r="44" spans="1:29" ht="51" x14ac:dyDescent="0.2">
      <c r="A44" s="65" t="s">
        <v>115</v>
      </c>
      <c r="B44" s="62" t="s">
        <v>167</v>
      </c>
      <c r="C44" s="65" t="s">
        <v>172</v>
      </c>
      <c r="D44" s="72" t="s">
        <v>178</v>
      </c>
      <c r="E44" s="65" t="s">
        <v>209</v>
      </c>
      <c r="F44" s="72" t="s">
        <v>187</v>
      </c>
      <c r="G44" s="65" t="s">
        <v>171</v>
      </c>
      <c r="H44" s="72" t="s">
        <v>177</v>
      </c>
      <c r="I44" s="65" t="s">
        <v>181</v>
      </c>
      <c r="J44" s="61"/>
      <c r="L44" s="74" t="s">
        <v>111</v>
      </c>
      <c r="M44" s="5">
        <v>0.2642221785714286</v>
      </c>
      <c r="N44" s="5">
        <v>9.2900999999999997E-2</v>
      </c>
      <c r="O44" s="5">
        <v>6.7118571428571427E-3</v>
      </c>
      <c r="P44" s="5">
        <v>0</v>
      </c>
      <c r="Q44" s="5">
        <v>0.17677857142857142</v>
      </c>
      <c r="R44" s="5">
        <v>6.6624285714285719E-2</v>
      </c>
      <c r="S44" s="5">
        <v>5.3369857142857142E-2</v>
      </c>
      <c r="T44" s="5">
        <v>4.4217285714285723E-2</v>
      </c>
      <c r="U44" s="5">
        <v>0.24541728571428573</v>
      </c>
      <c r="V44" s="5">
        <v>2.6168428571428575E-2</v>
      </c>
      <c r="W44" s="5">
        <v>9.1912428571428589E-2</v>
      </c>
      <c r="X44" s="5">
        <v>0.28376689285714291</v>
      </c>
      <c r="Y44" s="5">
        <v>0</v>
      </c>
      <c r="Z44" s="5">
        <v>0</v>
      </c>
      <c r="AA44" s="5">
        <v>1.4934071428571428E-2</v>
      </c>
      <c r="AB44" s="5">
        <v>9.3192142857142866E-3</v>
      </c>
      <c r="AC44" s="76">
        <v>3.2381464285714284E-2</v>
      </c>
    </row>
    <row r="45" spans="1:29" ht="16" x14ac:dyDescent="0.2">
      <c r="A45" s="66" t="s">
        <v>162</v>
      </c>
      <c r="B45" s="63">
        <f t="array" ref="B45:B60">0.8*B25:B40</f>
        <v>0.1174108</v>
      </c>
      <c r="C45" s="70">
        <f t="array" ref="C45:C60">0.8*C25:C40</f>
        <v>2.4406800000000003E-2</v>
      </c>
      <c r="D45" s="63">
        <f t="array" ref="D45:D60">0.8*D25:D40</f>
        <v>6.3116000000000005E-2</v>
      </c>
      <c r="E45" s="70">
        <f t="array" ref="E45:E60">0.8*E25:E40</f>
        <v>6.0426666666666665E-4</v>
      </c>
      <c r="F45" s="63">
        <f t="array" ref="F45:F60">0.8*F25:F40</f>
        <v>0.629104</v>
      </c>
      <c r="G45" s="70">
        <f t="array" ref="G45:G60">0.8*G25:G40</f>
        <v>0.12920760000000001</v>
      </c>
      <c r="H45" s="63">
        <f t="array" ref="H45:H60">0.8*H25:H40</f>
        <v>0.36867279999999997</v>
      </c>
      <c r="I45" s="70">
        <f t="array" ref="I45:I60">0.8*I25:I40</f>
        <v>9.6531600000000009E-2</v>
      </c>
      <c r="J45" s="61"/>
      <c r="L45" s="74" t="s">
        <v>160</v>
      </c>
      <c r="M45" s="5">
        <v>0.23315357142857146</v>
      </c>
      <c r="N45" s="5">
        <v>9.2900999999999997E-2</v>
      </c>
      <c r="O45" s="5">
        <v>6.7118571428571435E-3</v>
      </c>
      <c r="P45" s="5">
        <v>0</v>
      </c>
      <c r="Q45" s="5">
        <v>0.17677857142857142</v>
      </c>
      <c r="R45" s="5">
        <v>6.6624285714285719E-2</v>
      </c>
      <c r="S45" s="5">
        <v>5.3369857142857142E-2</v>
      </c>
      <c r="T45" s="5">
        <v>4.4217285714285723E-2</v>
      </c>
      <c r="U45" s="5">
        <v>0.24541728571428573</v>
      </c>
      <c r="V45" s="5">
        <v>2.6168428571428575E-2</v>
      </c>
      <c r="W45" s="5">
        <v>9.1912428571428589E-2</v>
      </c>
      <c r="X45" s="5">
        <v>0.32461285714285715</v>
      </c>
      <c r="Y45" s="5">
        <v>0</v>
      </c>
      <c r="Z45" s="5">
        <v>0</v>
      </c>
      <c r="AA45" s="5">
        <v>7.4527142857142865E-3</v>
      </c>
      <c r="AB45" s="5">
        <v>4.9669047619047627E-3</v>
      </c>
      <c r="AC45" s="76">
        <v>3.8157761904761903E-2</v>
      </c>
    </row>
    <row r="46" spans="1:29" ht="16" x14ac:dyDescent="0.2">
      <c r="A46" s="68" t="s">
        <v>163</v>
      </c>
      <c r="B46" s="63">
        <v>0.1174108</v>
      </c>
      <c r="C46" s="70">
        <v>2.4406800000000003E-2</v>
      </c>
      <c r="D46" s="63">
        <v>6.3116000000000005E-2</v>
      </c>
      <c r="E46" s="70">
        <v>6.0426666666666665E-4</v>
      </c>
      <c r="F46" s="63">
        <v>0.629104</v>
      </c>
      <c r="G46" s="70">
        <v>0.12920760000000001</v>
      </c>
      <c r="H46" s="63">
        <v>0.36867279999999997</v>
      </c>
      <c r="I46" s="70">
        <v>9.6531600000000009E-2</v>
      </c>
      <c r="J46" s="61"/>
      <c r="L46" s="74" t="s">
        <v>161</v>
      </c>
      <c r="M46" s="77">
        <v>0.23315357142857146</v>
      </c>
      <c r="N46" s="77">
        <v>9.2900999999999997E-2</v>
      </c>
      <c r="O46" s="77">
        <v>6.7118571428571435E-3</v>
      </c>
      <c r="P46" s="77">
        <v>0</v>
      </c>
      <c r="Q46" s="77">
        <v>0.17677857142857142</v>
      </c>
      <c r="R46" s="77">
        <v>6.6624285714285719E-2</v>
      </c>
      <c r="S46" s="77">
        <v>5.3369857142857142E-2</v>
      </c>
      <c r="T46" s="77">
        <v>4.4217285714285723E-2</v>
      </c>
      <c r="U46" s="77">
        <v>0.24541728571428573</v>
      </c>
      <c r="V46" s="77">
        <v>2.6168428571428575E-2</v>
      </c>
      <c r="W46" s="77">
        <v>9.1912428571428589E-2</v>
      </c>
      <c r="X46" s="77">
        <v>0.32461285714285715</v>
      </c>
      <c r="Y46" s="77">
        <v>0</v>
      </c>
      <c r="Z46" s="77">
        <v>0</v>
      </c>
      <c r="AA46" s="77">
        <v>7.4527142857142865E-3</v>
      </c>
      <c r="AB46" s="77">
        <v>4.9669047619047627E-3</v>
      </c>
      <c r="AC46" s="78">
        <v>3.8157761904761903E-2</v>
      </c>
    </row>
    <row r="47" spans="1:29" ht="16" x14ac:dyDescent="0.2">
      <c r="A47" s="68" t="s">
        <v>158</v>
      </c>
      <c r="B47" s="63">
        <v>0.1174108</v>
      </c>
      <c r="C47" s="70">
        <v>2.4406800000000003E-2</v>
      </c>
      <c r="D47" s="63">
        <v>6.3116000000000005E-2</v>
      </c>
      <c r="E47" s="70">
        <v>6.0426666666666665E-4</v>
      </c>
      <c r="F47" s="63">
        <v>0.629104</v>
      </c>
      <c r="G47" s="70">
        <v>0.12920760000000001</v>
      </c>
      <c r="H47" s="63">
        <v>0.36867279999999997</v>
      </c>
      <c r="I47" s="70">
        <v>9.6531600000000009E-2</v>
      </c>
      <c r="J47" s="61"/>
    </row>
    <row r="48" spans="1:29" ht="16" x14ac:dyDescent="0.2">
      <c r="A48" s="66" t="s">
        <v>97</v>
      </c>
      <c r="B48" s="63">
        <v>0.1174108</v>
      </c>
      <c r="C48" s="70">
        <v>2.4406800000000003E-2</v>
      </c>
      <c r="D48" s="63">
        <v>6.3116000000000005E-2</v>
      </c>
      <c r="E48" s="70">
        <v>6.0426666666666665E-4</v>
      </c>
      <c r="F48" s="63">
        <v>0.629104</v>
      </c>
      <c r="G48" s="70">
        <v>0.12920760000000001</v>
      </c>
      <c r="H48" s="63">
        <v>0.36867279999999997</v>
      </c>
      <c r="I48" s="70">
        <v>9.6531600000000009E-2</v>
      </c>
      <c r="J48" s="61"/>
    </row>
    <row r="49" spans="1:29" ht="51" x14ac:dyDescent="0.2">
      <c r="A49" s="66" t="s">
        <v>98</v>
      </c>
      <c r="B49" s="63">
        <v>0.1174108</v>
      </c>
      <c r="C49" s="70">
        <v>2.4406800000000003E-2</v>
      </c>
      <c r="D49" s="63">
        <v>6.3116000000000005E-2</v>
      </c>
      <c r="E49" s="70">
        <v>6.0426666666666665E-4</v>
      </c>
      <c r="F49" s="63">
        <v>0.629104</v>
      </c>
      <c r="G49" s="70">
        <v>0.12920760000000001</v>
      </c>
      <c r="H49" s="63">
        <v>0.36867279999999997</v>
      </c>
      <c r="I49" s="70">
        <v>9.6531600000000009E-2</v>
      </c>
      <c r="J49" s="61"/>
      <c r="L49" s="79" t="s">
        <v>115</v>
      </c>
      <c r="M49" s="79" t="s">
        <v>166</v>
      </c>
      <c r="N49" s="79" t="s">
        <v>167</v>
      </c>
      <c r="O49" s="79" t="s">
        <v>168</v>
      </c>
      <c r="P49" s="79" t="s">
        <v>169</v>
      </c>
      <c r="Q49" s="79" t="s">
        <v>170</v>
      </c>
      <c r="R49" s="79" t="s">
        <v>171</v>
      </c>
      <c r="S49" s="79" t="s">
        <v>172</v>
      </c>
      <c r="T49" s="79" t="s">
        <v>173</v>
      </c>
      <c r="U49" s="79" t="s">
        <v>174</v>
      </c>
      <c r="V49" s="79" t="s">
        <v>176</v>
      </c>
      <c r="W49" s="79" t="s">
        <v>177</v>
      </c>
      <c r="X49" s="79" t="s">
        <v>178</v>
      </c>
      <c r="Y49" s="79" t="s">
        <v>179</v>
      </c>
      <c r="Z49" s="79" t="s">
        <v>180</v>
      </c>
      <c r="AA49" s="79" t="s">
        <v>182</v>
      </c>
      <c r="AB49" s="79" t="s">
        <v>181</v>
      </c>
      <c r="AC49" s="65" t="s">
        <v>209</v>
      </c>
    </row>
    <row r="50" spans="1:29" ht="16" x14ac:dyDescent="0.2">
      <c r="A50" s="66" t="s">
        <v>159</v>
      </c>
      <c r="B50" s="63">
        <v>6.1426399999999992E-2</v>
      </c>
      <c r="C50" s="70">
        <v>2.8417099999999997E-2</v>
      </c>
      <c r="D50" s="63">
        <v>0.10498600000000001</v>
      </c>
      <c r="E50" s="70">
        <v>6.4042000000000005E-3</v>
      </c>
      <c r="F50" s="63">
        <v>0.50220620000000005</v>
      </c>
      <c r="G50" s="70">
        <v>0.12920760000000001</v>
      </c>
      <c r="H50" s="63">
        <v>0.36867280000000002</v>
      </c>
      <c r="I50" s="70">
        <v>7.250630000000001E-2</v>
      </c>
      <c r="J50" s="61"/>
      <c r="L50" s="74" t="s">
        <v>162</v>
      </c>
      <c r="M50" s="22">
        <v>0.78637999999999997</v>
      </c>
      <c r="N50" s="22">
        <v>0.12715399999999999</v>
      </c>
      <c r="O50" s="22">
        <v>3.9218999999999997E-2</v>
      </c>
      <c r="P50" s="147">
        <f t="array" ref="P50:P65">AH26*AL6:AL21+AH27*BG6:BG21+AH28*CB6:CB21</f>
        <v>0</v>
      </c>
      <c r="Q50" s="22">
        <v>0.284721</v>
      </c>
      <c r="R50" s="22">
        <v>3.8297999999999999E-2</v>
      </c>
      <c r="S50" s="22">
        <v>2.0338999999999999E-2</v>
      </c>
      <c r="T50" s="22">
        <v>2.0338999999999999E-2</v>
      </c>
      <c r="U50" s="22">
        <v>0.38433199999999995</v>
      </c>
      <c r="V50" s="22">
        <v>4.4648E-2</v>
      </c>
      <c r="W50" s="22">
        <v>0.15301799999999999</v>
      </c>
      <c r="X50" s="22">
        <v>7.8895000000000007E-2</v>
      </c>
      <c r="Y50" s="147">
        <f t="array" ref="Y50:Y65">AH26*AW6:AW21+AH27*BR6:BR21+AH28*CM6:CM21</f>
        <v>0</v>
      </c>
      <c r="Z50" s="147">
        <f t="array" ref="Z50:Z65">AH26*AW6:AW21+AH27*BS6:BS21+AH28*CN6:CN21</f>
        <v>0</v>
      </c>
      <c r="AA50" s="22">
        <v>8.8842000000000018E-2</v>
      </c>
      <c r="AB50" s="22">
        <v>6.3644999999999993E-2</v>
      </c>
      <c r="AC50" s="22">
        <v>7.5533333333333323E-4</v>
      </c>
    </row>
    <row r="51" spans="1:29" ht="16" x14ac:dyDescent="0.2">
      <c r="A51" s="66" t="s">
        <v>3</v>
      </c>
      <c r="B51" s="63">
        <v>6.1426399999999992E-2</v>
      </c>
      <c r="C51" s="70">
        <v>2.8417099999999997E-2</v>
      </c>
      <c r="D51" s="63">
        <v>0.10498600000000001</v>
      </c>
      <c r="E51" s="70">
        <v>6.4042000000000005E-3</v>
      </c>
      <c r="F51" s="63">
        <v>0.50220620000000005</v>
      </c>
      <c r="G51" s="70">
        <v>0.12920760000000001</v>
      </c>
      <c r="H51" s="63">
        <v>0.36867280000000002</v>
      </c>
      <c r="I51" s="70">
        <v>7.250630000000001E-2</v>
      </c>
      <c r="J51" s="61"/>
      <c r="L51" s="75" t="s">
        <v>163</v>
      </c>
      <c r="M51" s="22">
        <v>0.78637999999999997</v>
      </c>
      <c r="N51" s="22">
        <v>0.12715399999999999</v>
      </c>
      <c r="O51" s="22">
        <v>3.9218999999999997E-2</v>
      </c>
      <c r="P51" s="147">
        <v>0</v>
      </c>
      <c r="Q51" s="22">
        <v>0.284721</v>
      </c>
      <c r="R51" s="22">
        <v>3.8297999999999999E-2</v>
      </c>
      <c r="S51" s="22">
        <v>2.0338999999999999E-2</v>
      </c>
      <c r="T51" s="22">
        <v>2.0338999999999999E-2</v>
      </c>
      <c r="U51" s="22">
        <v>0.38433199999999995</v>
      </c>
      <c r="V51" s="22">
        <v>4.4648E-2</v>
      </c>
      <c r="W51" s="22">
        <v>0.15301799999999999</v>
      </c>
      <c r="X51" s="22">
        <v>7.8895000000000007E-2</v>
      </c>
      <c r="Y51" s="147">
        <v>0</v>
      </c>
      <c r="Z51" s="147">
        <v>0</v>
      </c>
      <c r="AA51" s="22">
        <v>8.8842000000000018E-2</v>
      </c>
      <c r="AB51" s="22">
        <v>6.3644999999999993E-2</v>
      </c>
      <c r="AC51" s="22">
        <v>7.5533333333333323E-4</v>
      </c>
    </row>
    <row r="52" spans="1:29" ht="16" x14ac:dyDescent="0.2">
      <c r="A52" s="66" t="s">
        <v>4</v>
      </c>
      <c r="B52" s="63">
        <v>6.1426399999999992E-2</v>
      </c>
      <c r="C52" s="70">
        <v>2.8417099999999997E-2</v>
      </c>
      <c r="D52" s="63">
        <v>0.10498600000000001</v>
      </c>
      <c r="E52" s="70">
        <v>6.4042000000000005E-3</v>
      </c>
      <c r="F52" s="63">
        <v>0.50220620000000005</v>
      </c>
      <c r="G52" s="70">
        <v>0.12920760000000001</v>
      </c>
      <c r="H52" s="63">
        <v>0.36867280000000002</v>
      </c>
      <c r="I52" s="70">
        <v>7.250630000000001E-2</v>
      </c>
      <c r="J52" s="61"/>
      <c r="L52" s="75" t="s">
        <v>158</v>
      </c>
      <c r="M52" s="22">
        <v>0.78637999999999997</v>
      </c>
      <c r="N52" s="22">
        <v>0.12715399999999999</v>
      </c>
      <c r="O52" s="22">
        <v>3.9218999999999997E-2</v>
      </c>
      <c r="P52" s="147">
        <v>0</v>
      </c>
      <c r="Q52" s="22">
        <v>0.284721</v>
      </c>
      <c r="R52" s="22">
        <v>3.8297999999999999E-2</v>
      </c>
      <c r="S52" s="22">
        <v>2.0338999999999999E-2</v>
      </c>
      <c r="T52" s="22">
        <v>2.0338999999999999E-2</v>
      </c>
      <c r="U52" s="22">
        <v>0.38433199999999995</v>
      </c>
      <c r="V52" s="22">
        <v>4.4648E-2</v>
      </c>
      <c r="W52" s="22">
        <v>0.15301799999999999</v>
      </c>
      <c r="X52" s="22">
        <v>7.8895000000000007E-2</v>
      </c>
      <c r="Y52" s="147">
        <v>0</v>
      </c>
      <c r="Z52" s="147">
        <v>0</v>
      </c>
      <c r="AA52" s="22">
        <v>8.8842000000000018E-2</v>
      </c>
      <c r="AB52" s="22">
        <v>6.3644999999999993E-2</v>
      </c>
      <c r="AC52" s="22">
        <v>7.5533333333333323E-4</v>
      </c>
    </row>
    <row r="53" spans="1:29" ht="16" x14ac:dyDescent="0.2">
      <c r="A53" s="66" t="s">
        <v>5</v>
      </c>
      <c r="B53" s="63">
        <v>6.1426399999999992E-2</v>
      </c>
      <c r="C53" s="70">
        <v>2.8417099999999997E-2</v>
      </c>
      <c r="D53" s="63">
        <v>0.10498600000000001</v>
      </c>
      <c r="E53" s="70">
        <v>6.4042000000000005E-3</v>
      </c>
      <c r="F53" s="63">
        <v>0.50220620000000005</v>
      </c>
      <c r="G53" s="70">
        <v>0.12920760000000001</v>
      </c>
      <c r="H53" s="63">
        <v>0.36867280000000002</v>
      </c>
      <c r="I53" s="70">
        <v>7.250630000000001E-2</v>
      </c>
      <c r="J53" s="61"/>
      <c r="L53" s="74" t="s">
        <v>97</v>
      </c>
      <c r="M53" s="22">
        <v>0.78637999999999997</v>
      </c>
      <c r="N53" s="22">
        <v>0.12715399999999999</v>
      </c>
      <c r="O53" s="22">
        <v>3.9218999999999997E-2</v>
      </c>
      <c r="P53" s="147">
        <v>0</v>
      </c>
      <c r="Q53" s="22">
        <v>0.284721</v>
      </c>
      <c r="R53" s="22">
        <v>3.8297999999999999E-2</v>
      </c>
      <c r="S53" s="22">
        <v>2.0338999999999999E-2</v>
      </c>
      <c r="T53" s="22">
        <v>2.0338999999999999E-2</v>
      </c>
      <c r="U53" s="22">
        <v>0.38433199999999995</v>
      </c>
      <c r="V53" s="22">
        <v>4.4648E-2</v>
      </c>
      <c r="W53" s="22">
        <v>0.15301799999999999</v>
      </c>
      <c r="X53" s="22">
        <v>7.8895000000000007E-2</v>
      </c>
      <c r="Y53" s="147">
        <v>0</v>
      </c>
      <c r="Z53" s="147">
        <v>0</v>
      </c>
      <c r="AA53" s="22">
        <v>8.8842000000000018E-2</v>
      </c>
      <c r="AB53" s="22">
        <v>6.3644999999999993E-2</v>
      </c>
      <c r="AC53" s="22">
        <v>7.5533333333333323E-4</v>
      </c>
    </row>
    <row r="54" spans="1:29" ht="16" x14ac:dyDescent="0.2">
      <c r="A54" s="66" t="s">
        <v>6</v>
      </c>
      <c r="B54" s="63">
        <v>6.1426399999999992E-2</v>
      </c>
      <c r="C54" s="70">
        <v>2.8417099999999997E-2</v>
      </c>
      <c r="D54" s="63">
        <v>0.10498600000000001</v>
      </c>
      <c r="E54" s="70">
        <v>6.4042000000000005E-3</v>
      </c>
      <c r="F54" s="63">
        <v>0.50220620000000005</v>
      </c>
      <c r="G54" s="70">
        <v>0.12920760000000001</v>
      </c>
      <c r="H54" s="63">
        <v>0.36867280000000002</v>
      </c>
      <c r="I54" s="70">
        <v>7.250630000000001E-2</v>
      </c>
      <c r="J54" s="61"/>
      <c r="L54" s="74" t="s">
        <v>98</v>
      </c>
      <c r="M54" s="22">
        <v>0.78637999999999997</v>
      </c>
      <c r="N54" s="22">
        <v>0.12715399999999999</v>
      </c>
      <c r="O54" s="22">
        <v>3.9218999999999997E-2</v>
      </c>
      <c r="P54" s="147">
        <v>0</v>
      </c>
      <c r="Q54" s="22">
        <v>0.284721</v>
      </c>
      <c r="R54" s="22">
        <v>3.8297999999999999E-2</v>
      </c>
      <c r="S54" s="22">
        <v>2.0338999999999999E-2</v>
      </c>
      <c r="T54" s="22">
        <v>2.0338999999999999E-2</v>
      </c>
      <c r="U54" s="22">
        <v>0.38433199999999995</v>
      </c>
      <c r="V54" s="22">
        <v>4.4648E-2</v>
      </c>
      <c r="W54" s="22">
        <v>0.15301799999999999</v>
      </c>
      <c r="X54" s="22">
        <v>7.8895000000000007E-2</v>
      </c>
      <c r="Y54" s="147">
        <v>0</v>
      </c>
      <c r="Z54" s="147">
        <v>0</v>
      </c>
      <c r="AA54" s="22">
        <v>8.8842000000000018E-2</v>
      </c>
      <c r="AB54" s="22">
        <v>6.3644999999999993E-2</v>
      </c>
      <c r="AC54" s="22">
        <v>7.5533333333333323E-4</v>
      </c>
    </row>
    <row r="55" spans="1:29" ht="16" x14ac:dyDescent="0.2">
      <c r="A55" s="66" t="s">
        <v>99</v>
      </c>
      <c r="B55" s="63">
        <v>4.5587200000000001E-2</v>
      </c>
      <c r="C55" s="70">
        <v>3.5437200000000002E-2</v>
      </c>
      <c r="D55" s="63">
        <v>0.14096040000000001</v>
      </c>
      <c r="E55" s="70">
        <v>1.4746599999999999E-2</v>
      </c>
      <c r="F55" s="63">
        <v>0.32777260000000003</v>
      </c>
      <c r="G55" s="70">
        <v>0.12920760000000001</v>
      </c>
      <c r="H55" s="63">
        <v>0.36867280000000002</v>
      </c>
      <c r="I55" s="70">
        <v>2.6838399999999998E-2</v>
      </c>
      <c r="J55" s="61"/>
      <c r="L55" s="74" t="s">
        <v>159</v>
      </c>
      <c r="M55" s="22">
        <v>0.62775775</v>
      </c>
      <c r="N55" s="22">
        <v>7.0921999999999999E-2</v>
      </c>
      <c r="O55" s="22">
        <v>1.1722E-2</v>
      </c>
      <c r="P55" s="147">
        <v>0</v>
      </c>
      <c r="Q55" s="22">
        <v>0.284721</v>
      </c>
      <c r="R55" s="22">
        <v>3.8297999999999999E-2</v>
      </c>
      <c r="S55" s="22">
        <v>2.3477999999999999E-2</v>
      </c>
      <c r="T55" s="22">
        <v>2.4086749999999997E-2</v>
      </c>
      <c r="U55" s="22">
        <v>0.38433200000000001</v>
      </c>
      <c r="V55" s="22">
        <v>4.4648E-2</v>
      </c>
      <c r="W55" s="22">
        <v>0.15301799999999999</v>
      </c>
      <c r="X55" s="22">
        <v>0.1312325</v>
      </c>
      <c r="Y55" s="147">
        <v>0</v>
      </c>
      <c r="Z55" s="147">
        <v>0</v>
      </c>
      <c r="AA55" s="22">
        <v>6.3570000000000002E-2</v>
      </c>
      <c r="AB55" s="22">
        <v>5.4125749999999993E-2</v>
      </c>
      <c r="AC55" s="22">
        <v>8.0052500000000002E-3</v>
      </c>
    </row>
    <row r="56" spans="1:29" ht="16" x14ac:dyDescent="0.2">
      <c r="A56" s="66" t="s">
        <v>100</v>
      </c>
      <c r="B56" s="63">
        <v>4.5587200000000001E-2</v>
      </c>
      <c r="C56" s="70">
        <v>3.5437200000000002E-2</v>
      </c>
      <c r="D56" s="63">
        <v>0.14096040000000001</v>
      </c>
      <c r="E56" s="70">
        <v>1.4746599999999999E-2</v>
      </c>
      <c r="F56" s="63">
        <v>0.32777260000000003</v>
      </c>
      <c r="G56" s="70">
        <v>0.12920760000000001</v>
      </c>
      <c r="H56" s="63">
        <v>0.36867280000000002</v>
      </c>
      <c r="I56" s="70">
        <v>2.6838399999999998E-2</v>
      </c>
      <c r="J56" s="61"/>
      <c r="L56" s="74" t="s">
        <v>3</v>
      </c>
      <c r="M56" s="22">
        <v>0.62775775</v>
      </c>
      <c r="N56" s="22">
        <v>7.0921999999999999E-2</v>
      </c>
      <c r="O56" s="22">
        <v>1.1722E-2</v>
      </c>
      <c r="P56" s="147">
        <v>0</v>
      </c>
      <c r="Q56" s="22">
        <v>0.284721</v>
      </c>
      <c r="R56" s="22">
        <v>3.8297999999999999E-2</v>
      </c>
      <c r="S56" s="22">
        <v>2.3477999999999999E-2</v>
      </c>
      <c r="T56" s="22">
        <v>2.4086749999999997E-2</v>
      </c>
      <c r="U56" s="22">
        <v>0.38433200000000001</v>
      </c>
      <c r="V56" s="22">
        <v>4.4648E-2</v>
      </c>
      <c r="W56" s="22">
        <v>0.15301799999999999</v>
      </c>
      <c r="X56" s="22">
        <v>0.1312325</v>
      </c>
      <c r="Y56" s="147">
        <v>0</v>
      </c>
      <c r="Z56" s="147">
        <v>0</v>
      </c>
      <c r="AA56" s="22">
        <v>6.3570000000000002E-2</v>
      </c>
      <c r="AB56" s="22">
        <v>5.4125749999999993E-2</v>
      </c>
      <c r="AC56" s="22">
        <v>8.0052500000000002E-3</v>
      </c>
    </row>
    <row r="57" spans="1:29" ht="16" x14ac:dyDescent="0.2">
      <c r="A57" s="66" t="s">
        <v>110</v>
      </c>
      <c r="B57" s="63">
        <v>4.5587200000000001E-2</v>
      </c>
      <c r="C57" s="70">
        <v>3.5437200000000002E-2</v>
      </c>
      <c r="D57" s="63">
        <v>0.14096040000000001</v>
      </c>
      <c r="E57" s="70">
        <v>1.4746599999999999E-2</v>
      </c>
      <c r="F57" s="63">
        <v>0.32777260000000003</v>
      </c>
      <c r="G57" s="70">
        <v>0.12920760000000001</v>
      </c>
      <c r="H57" s="63">
        <v>0.36867280000000002</v>
      </c>
      <c r="I57" s="70">
        <v>2.6838399999999998E-2</v>
      </c>
      <c r="J57" s="61"/>
      <c r="L57" s="74" t="s">
        <v>4</v>
      </c>
      <c r="M57" s="22">
        <v>0.62775775</v>
      </c>
      <c r="N57" s="22">
        <v>7.0921999999999999E-2</v>
      </c>
      <c r="O57" s="22">
        <v>1.1722E-2</v>
      </c>
      <c r="P57" s="147">
        <v>0</v>
      </c>
      <c r="Q57" s="22">
        <v>0.284721</v>
      </c>
      <c r="R57" s="22">
        <v>3.8297999999999999E-2</v>
      </c>
      <c r="S57" s="22">
        <v>2.3477999999999999E-2</v>
      </c>
      <c r="T57" s="22">
        <v>2.4086749999999997E-2</v>
      </c>
      <c r="U57" s="22">
        <v>0.38433200000000001</v>
      </c>
      <c r="V57" s="22">
        <v>4.4648E-2</v>
      </c>
      <c r="W57" s="22">
        <v>0.15301799999999999</v>
      </c>
      <c r="X57" s="22">
        <v>0.1312325</v>
      </c>
      <c r="Y57" s="147">
        <v>0</v>
      </c>
      <c r="Z57" s="147">
        <v>0</v>
      </c>
      <c r="AA57" s="22">
        <v>6.3570000000000002E-2</v>
      </c>
      <c r="AB57" s="22">
        <v>5.4125749999999993E-2</v>
      </c>
      <c r="AC57" s="22">
        <v>8.0052500000000002E-3</v>
      </c>
    </row>
    <row r="58" spans="1:29" ht="16" x14ac:dyDescent="0.2">
      <c r="A58" s="66" t="s">
        <v>111</v>
      </c>
      <c r="B58" s="63">
        <v>4.5587200000000001E-2</v>
      </c>
      <c r="C58" s="70">
        <v>3.5437200000000002E-2</v>
      </c>
      <c r="D58" s="63">
        <v>0.14096040000000001</v>
      </c>
      <c r="E58" s="70">
        <v>1.4746599999999999E-2</v>
      </c>
      <c r="F58" s="63">
        <v>0.32777260000000003</v>
      </c>
      <c r="G58" s="70">
        <v>0.12920760000000001</v>
      </c>
      <c r="H58" s="63">
        <v>0.36867280000000002</v>
      </c>
      <c r="I58" s="70">
        <v>2.6838399999999998E-2</v>
      </c>
      <c r="J58" s="61"/>
      <c r="L58" s="74" t="s">
        <v>5</v>
      </c>
      <c r="M58" s="22">
        <v>0.62775775</v>
      </c>
      <c r="N58" s="22">
        <v>7.0921999999999999E-2</v>
      </c>
      <c r="O58" s="22">
        <v>1.1722E-2</v>
      </c>
      <c r="P58" s="147">
        <v>0</v>
      </c>
      <c r="Q58" s="22">
        <v>0.284721</v>
      </c>
      <c r="R58" s="22">
        <v>3.8297999999999999E-2</v>
      </c>
      <c r="S58" s="22">
        <v>2.3477999999999999E-2</v>
      </c>
      <c r="T58" s="22">
        <v>2.4086749999999997E-2</v>
      </c>
      <c r="U58" s="22">
        <v>0.38433200000000001</v>
      </c>
      <c r="V58" s="22">
        <v>4.4648E-2</v>
      </c>
      <c r="W58" s="22">
        <v>0.15301799999999999</v>
      </c>
      <c r="X58" s="22">
        <v>0.1312325</v>
      </c>
      <c r="Y58" s="147">
        <v>0</v>
      </c>
      <c r="Z58" s="147">
        <v>0</v>
      </c>
      <c r="AA58" s="22">
        <v>6.3570000000000002E-2</v>
      </c>
      <c r="AB58" s="22">
        <v>5.4125749999999993E-2</v>
      </c>
      <c r="AC58" s="22">
        <v>8.0052500000000002E-3</v>
      </c>
    </row>
    <row r="59" spans="1:29" ht="16" x14ac:dyDescent="0.2">
      <c r="A59" s="66" t="s">
        <v>160</v>
      </c>
      <c r="B59" s="63">
        <v>4.5587200000000001E-2</v>
      </c>
      <c r="C59" s="70">
        <v>3.5437200000000002E-2</v>
      </c>
      <c r="D59" s="63">
        <v>0.1630242666666667</v>
      </c>
      <c r="E59" s="70">
        <v>1.7397599999999999E-2</v>
      </c>
      <c r="F59" s="63">
        <v>0.2935952</v>
      </c>
      <c r="G59" s="70">
        <v>0.12920760000000001</v>
      </c>
      <c r="H59" s="63">
        <v>0.36867279999999997</v>
      </c>
      <c r="I59" s="70">
        <v>1.36568E-2</v>
      </c>
      <c r="J59" s="61"/>
      <c r="L59" s="74" t="s">
        <v>6</v>
      </c>
      <c r="M59" s="22">
        <v>0.62775775</v>
      </c>
      <c r="N59" s="22">
        <v>7.0921999999999999E-2</v>
      </c>
      <c r="O59" s="22">
        <v>1.1722E-2</v>
      </c>
      <c r="P59" s="147">
        <v>0</v>
      </c>
      <c r="Q59" s="22">
        <v>0.284721</v>
      </c>
      <c r="R59" s="22">
        <v>3.8297999999999999E-2</v>
      </c>
      <c r="S59" s="22">
        <v>2.3477999999999999E-2</v>
      </c>
      <c r="T59" s="22">
        <v>2.4086749999999997E-2</v>
      </c>
      <c r="U59" s="22">
        <v>0.38433200000000001</v>
      </c>
      <c r="V59" s="22">
        <v>4.4648E-2</v>
      </c>
      <c r="W59" s="22">
        <v>0.15301799999999999</v>
      </c>
      <c r="X59" s="22">
        <v>0.1312325</v>
      </c>
      <c r="Y59" s="147">
        <v>0</v>
      </c>
      <c r="Z59" s="147">
        <v>0</v>
      </c>
      <c r="AA59" s="22">
        <v>6.3570000000000002E-2</v>
      </c>
      <c r="AB59" s="22">
        <v>5.4125749999999993E-2</v>
      </c>
      <c r="AC59" s="22">
        <v>8.0052500000000002E-3</v>
      </c>
    </row>
    <row r="60" spans="1:29" ht="16" x14ac:dyDescent="0.2">
      <c r="A60" s="66" t="s">
        <v>161</v>
      </c>
      <c r="B60" s="69">
        <v>4.5587200000000001E-2</v>
      </c>
      <c r="C60" s="71">
        <v>3.5437200000000002E-2</v>
      </c>
      <c r="D60" s="69">
        <v>0.1630242666666667</v>
      </c>
      <c r="E60" s="71">
        <v>1.7397599999999999E-2</v>
      </c>
      <c r="F60" s="69">
        <v>0.2935952</v>
      </c>
      <c r="G60" s="71">
        <v>0.12920760000000001</v>
      </c>
      <c r="H60" s="69">
        <v>0.36867279999999997</v>
      </c>
      <c r="I60" s="71">
        <v>1.36568E-2</v>
      </c>
      <c r="J60" s="61"/>
      <c r="L60" s="74" t="s">
        <v>99</v>
      </c>
      <c r="M60" s="22">
        <v>0.40971574999999999</v>
      </c>
      <c r="N60" s="22">
        <v>5.5032999999999999E-2</v>
      </c>
      <c r="O60" s="22">
        <v>3.9020000000000001E-3</v>
      </c>
      <c r="P60" s="147">
        <v>0</v>
      </c>
      <c r="Q60" s="22">
        <v>0.284721</v>
      </c>
      <c r="R60" s="22">
        <v>3.8297999999999999E-2</v>
      </c>
      <c r="S60" s="22">
        <v>3.134E-2</v>
      </c>
      <c r="T60" s="22">
        <v>2.5912999999999999E-2</v>
      </c>
      <c r="U60" s="22">
        <v>0.38433200000000001</v>
      </c>
      <c r="V60" s="22">
        <v>4.4648E-2</v>
      </c>
      <c r="W60" s="22">
        <v>0.15301799999999999</v>
      </c>
      <c r="X60" s="22">
        <v>0.17620050000000001</v>
      </c>
      <c r="Y60" s="147">
        <v>0</v>
      </c>
      <c r="Z60" s="147">
        <v>0</v>
      </c>
      <c r="AA60" s="22">
        <v>2.5549999999999996E-2</v>
      </c>
      <c r="AB60" s="22">
        <v>1.5996E-2</v>
      </c>
      <c r="AC60" s="22">
        <v>1.8433249999999998E-2</v>
      </c>
    </row>
    <row r="61" spans="1:29" ht="16" x14ac:dyDescent="0.2">
      <c r="J61" s="61"/>
      <c r="L61" s="74" t="s">
        <v>100</v>
      </c>
      <c r="M61" s="22">
        <v>0.40971574999999999</v>
      </c>
      <c r="N61" s="22">
        <v>5.5032999999999999E-2</v>
      </c>
      <c r="O61" s="22">
        <v>3.9020000000000001E-3</v>
      </c>
      <c r="P61" s="147">
        <v>0</v>
      </c>
      <c r="Q61" s="22">
        <v>0.284721</v>
      </c>
      <c r="R61" s="22">
        <v>3.8297999999999999E-2</v>
      </c>
      <c r="S61" s="22">
        <v>3.134E-2</v>
      </c>
      <c r="T61" s="22">
        <v>2.5912999999999999E-2</v>
      </c>
      <c r="U61" s="22">
        <v>0.38433200000000001</v>
      </c>
      <c r="V61" s="22">
        <v>4.4648E-2</v>
      </c>
      <c r="W61" s="22">
        <v>0.15301799999999999</v>
      </c>
      <c r="X61" s="22">
        <v>0.17620050000000001</v>
      </c>
      <c r="Y61" s="147">
        <v>0</v>
      </c>
      <c r="Z61" s="147">
        <v>0</v>
      </c>
      <c r="AA61" s="22">
        <v>2.5549999999999996E-2</v>
      </c>
      <c r="AB61" s="22">
        <v>1.5996E-2</v>
      </c>
      <c r="AC61" s="22">
        <v>1.8433249999999998E-2</v>
      </c>
    </row>
    <row r="62" spans="1:29" ht="16" x14ac:dyDescent="0.2">
      <c r="J62" s="61"/>
      <c r="L62" s="74" t="s">
        <v>110</v>
      </c>
      <c r="M62" s="22">
        <v>0.40971574999999999</v>
      </c>
      <c r="N62" s="22">
        <v>5.5032999999999999E-2</v>
      </c>
      <c r="O62" s="22">
        <v>3.9020000000000001E-3</v>
      </c>
      <c r="P62" s="147">
        <v>0</v>
      </c>
      <c r="Q62" s="22">
        <v>0.284721</v>
      </c>
      <c r="R62" s="22">
        <v>3.8297999999999999E-2</v>
      </c>
      <c r="S62" s="22">
        <v>3.134E-2</v>
      </c>
      <c r="T62" s="22">
        <v>2.5912999999999999E-2</v>
      </c>
      <c r="U62" s="22">
        <v>0.38433200000000001</v>
      </c>
      <c r="V62" s="22">
        <v>4.4648E-2</v>
      </c>
      <c r="W62" s="22">
        <v>0.15301799999999999</v>
      </c>
      <c r="X62" s="22">
        <v>0.17620050000000001</v>
      </c>
      <c r="Y62" s="147">
        <v>0</v>
      </c>
      <c r="Z62" s="147">
        <v>0</v>
      </c>
      <c r="AA62" s="22">
        <v>2.5549999999999996E-2</v>
      </c>
      <c r="AB62" s="22">
        <v>1.5996E-2</v>
      </c>
      <c r="AC62" s="22">
        <v>1.8433249999999998E-2</v>
      </c>
    </row>
    <row r="63" spans="1:29" ht="16" x14ac:dyDescent="0.2">
      <c r="J63" s="61"/>
      <c r="L63" s="74" t="s">
        <v>111</v>
      </c>
      <c r="M63" s="22">
        <v>0.40971574999999999</v>
      </c>
      <c r="N63" s="22">
        <v>5.5032999999999999E-2</v>
      </c>
      <c r="O63" s="22">
        <v>3.9020000000000001E-3</v>
      </c>
      <c r="P63" s="147">
        <v>0</v>
      </c>
      <c r="Q63" s="22">
        <v>0.284721</v>
      </c>
      <c r="R63" s="22">
        <v>3.8297999999999999E-2</v>
      </c>
      <c r="S63" s="22">
        <v>3.134E-2</v>
      </c>
      <c r="T63" s="22">
        <v>2.5912999999999999E-2</v>
      </c>
      <c r="U63" s="22">
        <v>0.38433200000000001</v>
      </c>
      <c r="V63" s="22">
        <v>4.4648E-2</v>
      </c>
      <c r="W63" s="22">
        <v>0.15301799999999999</v>
      </c>
      <c r="X63" s="22">
        <v>0.17620050000000001</v>
      </c>
      <c r="Y63" s="147">
        <v>0</v>
      </c>
      <c r="Z63" s="147">
        <v>0</v>
      </c>
      <c r="AA63" s="22">
        <v>2.5549999999999996E-2</v>
      </c>
      <c r="AB63" s="22">
        <v>1.5996E-2</v>
      </c>
      <c r="AC63" s="22">
        <v>1.8433249999999998E-2</v>
      </c>
    </row>
    <row r="64" spans="1:29" ht="16" x14ac:dyDescent="0.2">
      <c r="J64" s="61"/>
      <c r="L64" s="74" t="s">
        <v>160</v>
      </c>
      <c r="M64" s="22">
        <v>0.36699399999999999</v>
      </c>
      <c r="N64" s="22">
        <v>5.5032999999999999E-2</v>
      </c>
      <c r="O64" s="22">
        <v>3.9020000000000005E-3</v>
      </c>
      <c r="P64" s="147">
        <v>0</v>
      </c>
      <c r="Q64" s="22">
        <v>0.284721</v>
      </c>
      <c r="R64" s="22">
        <v>3.8297999999999999E-2</v>
      </c>
      <c r="S64" s="22">
        <v>3.134E-2</v>
      </c>
      <c r="T64" s="22">
        <v>2.5913000000000002E-2</v>
      </c>
      <c r="U64" s="22">
        <v>0.38433199999999995</v>
      </c>
      <c r="V64" s="22">
        <v>4.4648E-2</v>
      </c>
      <c r="W64" s="22">
        <v>0.15301799999999999</v>
      </c>
      <c r="X64" s="22">
        <v>0.20378033333333334</v>
      </c>
      <c r="Y64" s="147">
        <v>0</v>
      </c>
      <c r="Z64" s="147">
        <v>0</v>
      </c>
      <c r="AA64" s="22">
        <v>1.2801999999999999E-2</v>
      </c>
      <c r="AB64" s="22">
        <v>8.5379999999999987E-3</v>
      </c>
      <c r="AC64" s="22">
        <v>2.1746999999999999E-2</v>
      </c>
    </row>
    <row r="65" spans="1:33" ht="16" x14ac:dyDescent="0.2">
      <c r="J65" s="61"/>
      <c r="L65" s="74" t="s">
        <v>161</v>
      </c>
      <c r="M65" s="22">
        <v>0.36699399999999999</v>
      </c>
      <c r="N65" s="22">
        <v>5.5032999999999999E-2</v>
      </c>
      <c r="O65" s="22">
        <v>3.9020000000000005E-3</v>
      </c>
      <c r="P65" s="147">
        <v>0</v>
      </c>
      <c r="Q65" s="22">
        <v>0.284721</v>
      </c>
      <c r="R65" s="22">
        <v>3.8297999999999999E-2</v>
      </c>
      <c r="S65" s="22">
        <v>3.134E-2</v>
      </c>
      <c r="T65" s="22">
        <v>2.5913000000000002E-2</v>
      </c>
      <c r="U65" s="22">
        <v>0.38433199999999995</v>
      </c>
      <c r="V65" s="22">
        <v>4.4648E-2</v>
      </c>
      <c r="W65" s="22">
        <v>0.15301799999999999</v>
      </c>
      <c r="X65" s="22">
        <v>0.20378033333333334</v>
      </c>
      <c r="Y65" s="147">
        <v>0</v>
      </c>
      <c r="Z65" s="147">
        <v>0</v>
      </c>
      <c r="AA65" s="22">
        <v>1.2801999999999999E-2</v>
      </c>
      <c r="AB65" s="22">
        <v>8.5379999999999987E-3</v>
      </c>
      <c r="AC65" s="22">
        <v>2.1746999999999999E-2</v>
      </c>
    </row>
    <row r="66" spans="1:33" ht="16" x14ac:dyDescent="0.2">
      <c r="J66" s="61"/>
    </row>
    <row r="67" spans="1:33" ht="16" x14ac:dyDescent="0.2">
      <c r="J67" s="61"/>
    </row>
    <row r="68" spans="1:33" ht="16" x14ac:dyDescent="0.2">
      <c r="J68" s="61"/>
    </row>
    <row r="69" spans="1:33" ht="16" x14ac:dyDescent="0.2">
      <c r="J69" s="61"/>
    </row>
    <row r="70" spans="1:33" ht="16" x14ac:dyDescent="0.2">
      <c r="J70" s="61"/>
    </row>
    <row r="71" spans="1:33" ht="16" x14ac:dyDescent="0.2">
      <c r="A71" s="83" t="s">
        <v>212</v>
      </c>
      <c r="B71" s="63"/>
      <c r="C71" s="63"/>
      <c r="D71" s="63"/>
      <c r="E71" s="6"/>
      <c r="F71" s="6"/>
      <c r="G71" s="6"/>
      <c r="H71" s="6"/>
      <c r="I71" s="6"/>
      <c r="J71" s="63"/>
      <c r="K71" s="6"/>
      <c r="L71" s="6"/>
      <c r="M71" s="6"/>
      <c r="N71" s="6"/>
      <c r="O71" s="6"/>
      <c r="P71" s="6"/>
      <c r="Q71" s="6"/>
      <c r="R71" s="6"/>
      <c r="S71" s="6"/>
      <c r="T71" s="6"/>
      <c r="U71" s="6"/>
      <c r="V71" s="6"/>
      <c r="W71" s="6"/>
      <c r="X71" s="6"/>
      <c r="Y71" s="6"/>
      <c r="Z71" s="6"/>
      <c r="AA71" s="6"/>
      <c r="AB71" s="6"/>
      <c r="AC71" s="6"/>
      <c r="AD71" s="6"/>
      <c r="AE71" s="6"/>
      <c r="AF71" s="6"/>
      <c r="AG71" s="6"/>
    </row>
    <row r="72" spans="1:33" ht="21" customHeight="1" x14ac:dyDescent="0.2">
      <c r="A72" s="230" t="s">
        <v>105</v>
      </c>
      <c r="B72" s="230"/>
      <c r="C72" s="61"/>
      <c r="D72" s="61"/>
      <c r="I72" s="61"/>
      <c r="J72" s="61"/>
    </row>
    <row r="73" spans="1:33" ht="16" x14ac:dyDescent="0.2">
      <c r="A73" s="81" t="s">
        <v>75</v>
      </c>
      <c r="B73" s="82">
        <f>0.6</f>
        <v>0.6</v>
      </c>
      <c r="C73" s="61"/>
      <c r="D73" s="61"/>
      <c r="G73" s="61"/>
      <c r="H73" s="61"/>
    </row>
    <row r="74" spans="1:33" ht="16" x14ac:dyDescent="0.2">
      <c r="A74" s="81" t="s">
        <v>104</v>
      </c>
      <c r="B74" s="82">
        <f>0.55</f>
        <v>0.55000000000000004</v>
      </c>
      <c r="C74" s="61"/>
      <c r="D74" s="61"/>
      <c r="G74" s="61"/>
      <c r="H74" s="61"/>
    </row>
    <row r="75" spans="1:33" ht="16" x14ac:dyDescent="0.2">
      <c r="A75" s="81" t="s">
        <v>74</v>
      </c>
      <c r="B75" s="82">
        <f>0.45</f>
        <v>0.45</v>
      </c>
      <c r="C75" s="61"/>
      <c r="D75" s="61"/>
      <c r="G75" s="61"/>
      <c r="H75" s="61"/>
    </row>
    <row r="76" spans="1:33" ht="16" x14ac:dyDescent="0.2">
      <c r="A76" s="81" t="s">
        <v>106</v>
      </c>
      <c r="B76" s="82">
        <f>0.3</f>
        <v>0.3</v>
      </c>
      <c r="C76" s="61"/>
      <c r="D76" s="61"/>
      <c r="G76" s="61"/>
      <c r="H76" s="61"/>
    </row>
    <row r="77" spans="1:33" ht="16" x14ac:dyDescent="0.2">
      <c r="A77" s="61"/>
      <c r="B77" s="61"/>
      <c r="C77" s="61"/>
      <c r="D77" s="61"/>
      <c r="I77" s="61"/>
      <c r="J77" s="61"/>
    </row>
    <row r="78" spans="1:33" ht="16" x14ac:dyDescent="0.2">
      <c r="A78" s="61"/>
      <c r="B78" s="61"/>
      <c r="C78" s="61"/>
      <c r="D78" s="61"/>
      <c r="I78" s="61"/>
      <c r="J78" s="61"/>
    </row>
    <row r="79" spans="1:33" ht="16" x14ac:dyDescent="0.2">
      <c r="A79" s="61"/>
      <c r="B79" s="61"/>
      <c r="C79" s="61"/>
      <c r="D79" s="61"/>
      <c r="I79" s="61"/>
      <c r="J79" s="61"/>
    </row>
    <row r="80" spans="1:33" ht="16" x14ac:dyDescent="0.2">
      <c r="A80" s="61"/>
      <c r="B80" s="61"/>
      <c r="C80" s="61"/>
      <c r="D80" s="61"/>
      <c r="E80" s="61"/>
      <c r="F80" s="61"/>
      <c r="G80" s="61"/>
      <c r="H80" s="61"/>
      <c r="I80" s="61"/>
      <c r="J80" s="61"/>
    </row>
    <row r="81" spans="1:31" ht="16" x14ac:dyDescent="0.2">
      <c r="A81" s="61"/>
      <c r="B81" s="61"/>
      <c r="C81" s="61"/>
      <c r="D81" s="61"/>
      <c r="E81" s="61"/>
      <c r="F81" s="61"/>
      <c r="G81" s="61"/>
      <c r="H81" s="61"/>
      <c r="I81" s="61"/>
      <c r="J81" s="61"/>
    </row>
    <row r="82" spans="1:31" ht="16" x14ac:dyDescent="0.2">
      <c r="A82" s="63" t="s">
        <v>213</v>
      </c>
      <c r="B82" s="63"/>
      <c r="C82" s="63"/>
      <c r="D82" s="63"/>
      <c r="E82" s="63"/>
      <c r="F82" s="63"/>
      <c r="G82" s="63"/>
      <c r="H82" s="63"/>
      <c r="I82" s="63"/>
      <c r="J82" s="63"/>
      <c r="K82" s="6"/>
      <c r="L82" s="6"/>
      <c r="M82" s="6"/>
      <c r="N82" s="6"/>
      <c r="O82" s="6"/>
      <c r="P82" s="6"/>
      <c r="Q82" s="6"/>
      <c r="R82" s="6"/>
      <c r="S82" s="6"/>
      <c r="T82" s="6"/>
      <c r="U82" s="6"/>
      <c r="V82" s="6"/>
      <c r="W82" s="6"/>
      <c r="X82" s="6"/>
      <c r="Y82" s="6"/>
      <c r="Z82" s="6"/>
      <c r="AA82" s="6"/>
      <c r="AB82" s="6"/>
      <c r="AC82" s="6"/>
      <c r="AD82" s="6"/>
      <c r="AE82" s="6"/>
    </row>
    <row r="83" spans="1:31" ht="16" x14ac:dyDescent="0.2">
      <c r="A83" s="84" t="s">
        <v>109</v>
      </c>
      <c r="B83" s="63"/>
      <c r="C83" s="63"/>
      <c r="D83" s="63"/>
      <c r="E83" s="63"/>
      <c r="F83" s="63"/>
      <c r="G83" s="63"/>
      <c r="H83" s="63"/>
      <c r="I83" s="63"/>
      <c r="J83" s="63"/>
      <c r="K83" s="6"/>
      <c r="L83" s="6"/>
      <c r="M83" s="6"/>
      <c r="N83" s="6"/>
      <c r="O83" s="6"/>
      <c r="P83" s="6"/>
      <c r="Q83" s="6"/>
      <c r="R83" s="6"/>
      <c r="S83" s="6"/>
      <c r="T83" s="6"/>
      <c r="U83" s="6"/>
      <c r="V83" s="6"/>
      <c r="W83" s="6"/>
      <c r="X83" s="6"/>
      <c r="Y83" s="6"/>
      <c r="Z83" s="6"/>
      <c r="AA83" s="6"/>
      <c r="AB83" s="6"/>
      <c r="AC83" s="6"/>
      <c r="AD83" s="6"/>
      <c r="AE83" s="6"/>
    </row>
    <row r="84" spans="1:31" ht="16" x14ac:dyDescent="0.2">
      <c r="A84" s="231" t="s">
        <v>107</v>
      </c>
      <c r="B84" s="231"/>
      <c r="C84" s="61"/>
      <c r="D84" s="61"/>
      <c r="E84" s="61"/>
      <c r="F84" s="61"/>
      <c r="G84" s="61"/>
      <c r="H84" s="61"/>
      <c r="I84" s="61"/>
      <c r="J84" s="61"/>
    </row>
    <row r="85" spans="1:31" ht="16" x14ac:dyDescent="0.2">
      <c r="A85" s="66" t="s">
        <v>75</v>
      </c>
      <c r="B85" s="67">
        <v>1</v>
      </c>
      <c r="C85" s="61"/>
      <c r="D85" s="61"/>
      <c r="E85" s="61"/>
      <c r="F85" s="61"/>
      <c r="G85" s="61"/>
      <c r="H85" s="61"/>
      <c r="I85" s="61"/>
      <c r="J85" s="61"/>
    </row>
    <row r="86" spans="1:31" ht="16" x14ac:dyDescent="0.2">
      <c r="A86" s="66" t="s">
        <v>104</v>
      </c>
      <c r="B86" s="67">
        <v>1.8</v>
      </c>
      <c r="C86" s="61"/>
      <c r="D86" s="61"/>
      <c r="E86" s="61"/>
      <c r="F86" s="61"/>
      <c r="G86" s="61"/>
      <c r="H86" s="61"/>
      <c r="I86" s="61"/>
      <c r="J86" s="61"/>
    </row>
    <row r="87" spans="1:31" ht="16" x14ac:dyDescent="0.2">
      <c r="A87" s="66" t="s">
        <v>74</v>
      </c>
      <c r="B87" s="67">
        <v>2.6</v>
      </c>
      <c r="C87" s="61"/>
      <c r="D87" s="61"/>
      <c r="E87" s="61"/>
      <c r="F87" s="61"/>
      <c r="G87" s="61"/>
      <c r="H87" s="61"/>
      <c r="I87" s="61"/>
      <c r="J87" s="61"/>
    </row>
    <row r="88" spans="1:31" ht="16" x14ac:dyDescent="0.2">
      <c r="A88" s="66" t="s">
        <v>73</v>
      </c>
      <c r="B88" s="67">
        <v>5.5</v>
      </c>
      <c r="C88" s="61"/>
      <c r="D88" s="61"/>
      <c r="E88" s="61"/>
      <c r="F88" s="61"/>
      <c r="G88" s="61"/>
      <c r="H88" s="61"/>
      <c r="I88" s="61"/>
      <c r="J88" s="61"/>
    </row>
    <row r="89" spans="1:31" ht="16" x14ac:dyDescent="0.2">
      <c r="A89" s="61"/>
      <c r="B89" s="61"/>
      <c r="C89" s="61"/>
      <c r="D89" s="61"/>
      <c r="E89" s="61"/>
      <c r="F89" s="61"/>
      <c r="G89" s="61"/>
      <c r="H89" s="61"/>
      <c r="I89" s="61"/>
      <c r="J89" s="61"/>
    </row>
    <row r="90" spans="1:31" ht="16" x14ac:dyDescent="0.2">
      <c r="A90" s="61"/>
      <c r="B90" s="61"/>
      <c r="C90" s="61"/>
      <c r="D90" s="61"/>
      <c r="E90" s="61"/>
      <c r="F90" s="61"/>
      <c r="G90" s="61"/>
      <c r="H90" s="61"/>
      <c r="I90" s="61"/>
      <c r="J90" s="61"/>
    </row>
    <row r="91" spans="1:31" ht="16" x14ac:dyDescent="0.2">
      <c r="A91" s="61"/>
      <c r="B91" s="61"/>
      <c r="C91" s="61"/>
      <c r="D91" s="61"/>
      <c r="E91" s="61"/>
      <c r="F91" s="61"/>
      <c r="G91" s="61"/>
      <c r="H91" s="61"/>
      <c r="I91" s="61"/>
      <c r="J91" s="61"/>
    </row>
    <row r="92" spans="1:31" ht="16" x14ac:dyDescent="0.2">
      <c r="E92" s="61"/>
      <c r="F92" s="61"/>
      <c r="G92" s="61"/>
      <c r="H92" s="61"/>
      <c r="I92" s="61"/>
      <c r="J92" s="61"/>
    </row>
    <row r="93" spans="1:31" ht="16" x14ac:dyDescent="0.2">
      <c r="E93" s="61"/>
      <c r="F93" s="61"/>
      <c r="G93" s="61"/>
      <c r="H93" s="61"/>
      <c r="I93" s="61"/>
      <c r="J93" s="61"/>
    </row>
    <row r="94" spans="1:31" ht="16" x14ac:dyDescent="0.2">
      <c r="A94" s="83" t="s">
        <v>214</v>
      </c>
      <c r="B94" s="6"/>
      <c r="C94" s="6"/>
      <c r="D94" s="6"/>
      <c r="E94" s="63"/>
      <c r="F94" s="63"/>
      <c r="G94" s="63"/>
      <c r="H94" s="63"/>
      <c r="I94" s="63"/>
      <c r="J94" s="63"/>
      <c r="K94" s="6"/>
      <c r="L94" s="6"/>
      <c r="M94" s="6"/>
      <c r="N94" s="6"/>
      <c r="O94" s="6"/>
      <c r="P94" s="6"/>
      <c r="Q94" s="6"/>
      <c r="R94" s="6"/>
      <c r="S94" s="6"/>
      <c r="T94" s="6"/>
      <c r="U94" s="6"/>
      <c r="V94" s="6"/>
      <c r="W94" s="6"/>
      <c r="X94" s="6"/>
      <c r="Y94" s="6"/>
      <c r="Z94" s="6"/>
      <c r="AA94" s="6"/>
      <c r="AB94" s="6"/>
      <c r="AC94" s="6"/>
      <c r="AD94" s="6"/>
      <c r="AE94" s="6"/>
    </row>
    <row r="95" spans="1:31" ht="16" x14ac:dyDescent="0.2">
      <c r="A95" s="84" t="s">
        <v>215</v>
      </c>
      <c r="B95" s="6"/>
      <c r="C95" s="6"/>
      <c r="D95" s="6"/>
      <c r="E95" s="63"/>
      <c r="F95" s="63"/>
      <c r="G95" s="63"/>
      <c r="H95" s="63"/>
      <c r="I95" s="63"/>
      <c r="J95" s="63"/>
      <c r="K95" s="6"/>
      <c r="L95" s="6"/>
      <c r="M95" s="6"/>
      <c r="N95" s="6"/>
      <c r="O95" s="6"/>
      <c r="P95" s="6"/>
      <c r="Q95" s="6"/>
      <c r="R95" s="6"/>
      <c r="S95" s="6"/>
      <c r="T95" s="6"/>
      <c r="U95" s="6"/>
      <c r="V95" s="6"/>
      <c r="W95" s="6"/>
      <c r="X95" s="6"/>
      <c r="Y95" s="6"/>
      <c r="Z95" s="6"/>
      <c r="AA95" s="6"/>
      <c r="AB95" s="6"/>
      <c r="AC95" s="6"/>
      <c r="AD95" s="6"/>
      <c r="AE95" s="6"/>
    </row>
    <row r="96" spans="1:31" ht="16" x14ac:dyDescent="0.2">
      <c r="A96" s="66" t="s">
        <v>108</v>
      </c>
      <c r="B96" s="66"/>
      <c r="E96" s="61"/>
      <c r="F96" s="61"/>
      <c r="G96" s="61"/>
      <c r="H96" s="61"/>
      <c r="I96" s="61"/>
      <c r="J96" s="61"/>
    </row>
    <row r="97" spans="1:10" ht="16" x14ac:dyDescent="0.2">
      <c r="A97" s="66" t="s">
        <v>75</v>
      </c>
      <c r="B97" s="67">
        <v>1</v>
      </c>
      <c r="C97" s="61"/>
      <c r="D97" s="61"/>
      <c r="E97" s="61"/>
      <c r="F97" s="61"/>
      <c r="G97" s="61"/>
      <c r="H97" s="61"/>
      <c r="I97" s="61"/>
      <c r="J97" s="61"/>
    </row>
    <row r="98" spans="1:10" ht="16" x14ac:dyDescent="0.2">
      <c r="A98" s="66" t="s">
        <v>104</v>
      </c>
      <c r="B98" s="67">
        <v>1.75</v>
      </c>
      <c r="C98" s="61"/>
      <c r="D98" s="61"/>
      <c r="E98" s="61"/>
      <c r="F98" s="61"/>
      <c r="G98" s="61"/>
      <c r="H98" s="61"/>
      <c r="I98" s="61"/>
      <c r="J98" s="61"/>
    </row>
    <row r="99" spans="1:10" ht="16" x14ac:dyDescent="0.2">
      <c r="A99" s="66" t="s">
        <v>74</v>
      </c>
      <c r="B99" s="67">
        <v>2.2999999999999998</v>
      </c>
      <c r="C99" s="61"/>
      <c r="D99" s="61"/>
      <c r="E99" s="61"/>
      <c r="F99" s="61"/>
      <c r="G99" s="61"/>
      <c r="H99" s="61"/>
      <c r="I99" s="61"/>
      <c r="J99" s="61"/>
    </row>
    <row r="100" spans="1:10" ht="16" x14ac:dyDescent="0.2">
      <c r="A100" s="66" t="s">
        <v>73</v>
      </c>
      <c r="B100" s="67">
        <v>2.66</v>
      </c>
      <c r="C100" s="61"/>
      <c r="E100" s="61"/>
      <c r="F100" s="61"/>
      <c r="G100" s="61"/>
      <c r="H100" s="61"/>
      <c r="I100" s="61"/>
      <c r="J100" s="61"/>
    </row>
    <row r="101" spans="1:10" ht="16" x14ac:dyDescent="0.2">
      <c r="C101" s="61"/>
      <c r="D101" s="61"/>
      <c r="E101" s="61"/>
      <c r="F101" s="61"/>
      <c r="G101" s="61"/>
      <c r="H101" s="61"/>
      <c r="I101" s="61"/>
      <c r="J101" s="61"/>
    </row>
    <row r="102" spans="1:10" ht="16" x14ac:dyDescent="0.2">
      <c r="C102" s="61"/>
      <c r="D102" s="61"/>
      <c r="E102" s="61"/>
      <c r="F102" s="61"/>
      <c r="G102" s="61"/>
      <c r="H102" s="61"/>
      <c r="I102" s="61"/>
      <c r="J102" s="61"/>
    </row>
    <row r="103" spans="1:10" ht="16" x14ac:dyDescent="0.2">
      <c r="C103" s="61"/>
      <c r="D103" s="61"/>
      <c r="E103" s="61"/>
      <c r="F103" s="61"/>
      <c r="G103" s="61"/>
      <c r="H103" s="61"/>
      <c r="I103" s="61"/>
      <c r="J103" s="61"/>
    </row>
    <row r="104" spans="1:10" ht="16" x14ac:dyDescent="0.2">
      <c r="A104" s="61"/>
      <c r="B104" s="61"/>
      <c r="C104" s="61"/>
      <c r="D104" s="61"/>
      <c r="E104" s="61"/>
      <c r="F104" s="61"/>
      <c r="G104" s="61"/>
      <c r="H104" s="61"/>
      <c r="I104" s="61"/>
      <c r="J104" s="61"/>
    </row>
    <row r="105" spans="1:10" ht="16" x14ac:dyDescent="0.2">
      <c r="C105" s="61"/>
      <c r="D105" s="61"/>
      <c r="E105" s="61"/>
      <c r="F105" s="61"/>
      <c r="G105" s="61"/>
      <c r="H105" s="61"/>
      <c r="I105" s="61"/>
      <c r="J105" s="61"/>
    </row>
    <row r="106" spans="1:10" ht="16" x14ac:dyDescent="0.2">
      <c r="C106" s="61"/>
      <c r="E106" s="61"/>
      <c r="F106" s="61"/>
      <c r="G106" s="61"/>
      <c r="H106" s="61"/>
      <c r="I106" s="61"/>
      <c r="J106" s="61"/>
    </row>
    <row r="107" spans="1:10" ht="16" x14ac:dyDescent="0.2">
      <c r="C107" s="61"/>
      <c r="D107" s="61"/>
      <c r="E107" s="61"/>
      <c r="F107" s="61"/>
      <c r="G107" s="61"/>
      <c r="H107" s="61"/>
      <c r="I107" s="61"/>
      <c r="J107" s="61"/>
    </row>
    <row r="108" spans="1:10" ht="16" x14ac:dyDescent="0.2">
      <c r="C108" s="61"/>
      <c r="D108" s="61"/>
      <c r="E108" s="61"/>
      <c r="F108" s="61"/>
      <c r="G108" s="61"/>
      <c r="H108" s="61"/>
      <c r="I108" s="61"/>
      <c r="J108" s="61"/>
    </row>
    <row r="109" spans="1:10" ht="16" x14ac:dyDescent="0.2">
      <c r="C109" s="61"/>
      <c r="D109" s="61"/>
      <c r="E109" s="61"/>
      <c r="F109" s="61"/>
      <c r="G109" s="61"/>
      <c r="H109" s="61"/>
      <c r="I109" s="61"/>
      <c r="J109" s="61"/>
    </row>
    <row r="110" spans="1:10" ht="16" x14ac:dyDescent="0.2">
      <c r="A110" s="61"/>
      <c r="B110" s="61"/>
      <c r="C110" s="61"/>
      <c r="D110" s="64"/>
      <c r="E110" s="61"/>
      <c r="F110" s="61"/>
      <c r="G110" s="61"/>
      <c r="H110" s="61"/>
      <c r="I110" s="61"/>
      <c r="J110" s="61"/>
    </row>
    <row r="111" spans="1:10" ht="16" x14ac:dyDescent="0.2">
      <c r="A111" s="61"/>
      <c r="B111" s="61"/>
      <c r="C111" s="61"/>
      <c r="D111" s="61"/>
      <c r="E111" s="61"/>
      <c r="F111" s="61"/>
      <c r="G111" s="61"/>
      <c r="H111" s="61"/>
      <c r="I111" s="61"/>
      <c r="J111" s="61"/>
    </row>
    <row r="112" spans="1:10" ht="16" x14ac:dyDescent="0.2">
      <c r="A112" s="61"/>
      <c r="B112" s="61"/>
      <c r="C112" s="61"/>
      <c r="D112" s="61"/>
      <c r="E112" s="61"/>
      <c r="F112" s="61"/>
      <c r="G112" s="61"/>
      <c r="H112" s="61"/>
      <c r="I112" s="61"/>
      <c r="J112" s="61"/>
    </row>
    <row r="113" spans="1:10" ht="16" x14ac:dyDescent="0.2">
      <c r="A113" s="61"/>
      <c r="B113" s="61"/>
      <c r="C113" s="61"/>
      <c r="D113" s="61"/>
      <c r="E113" s="61"/>
      <c r="F113" s="61"/>
      <c r="G113" s="61"/>
      <c r="H113" s="61"/>
      <c r="I113" s="61"/>
      <c r="J113" s="61"/>
    </row>
  </sheetData>
  <sortState xmlns:xlrd2="http://schemas.microsoft.com/office/spreadsheetml/2017/richdata2"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47"/>
  <sheetViews>
    <sheetView showGridLines="0" zoomScaleNormal="100" workbookViewId="0">
      <selection activeCell="E25" sqref="E25"/>
    </sheetView>
  </sheetViews>
  <sheetFormatPr baseColWidth="10" defaultColWidth="8.83203125" defaultRowHeight="15" x14ac:dyDescent="0.2"/>
  <cols>
    <col min="1" max="1" width="26" bestFit="1" customWidth="1"/>
    <col min="3" max="3" width="10.33203125" bestFit="1" customWidth="1"/>
    <col min="4" max="5" width="9.83203125" bestFit="1" customWidth="1"/>
    <col min="6" max="6" width="10.5" bestFit="1" customWidth="1"/>
    <col min="7" max="8" width="9.5" bestFit="1" customWidth="1"/>
    <col min="9" max="9" width="9.83203125" bestFit="1" customWidth="1"/>
    <col min="10" max="10" width="9.5" bestFit="1" customWidth="1"/>
    <col min="13" max="13" width="9.6640625" bestFit="1" customWidth="1"/>
    <col min="16" max="16" width="13.1640625" bestFit="1" customWidth="1"/>
    <col min="22" max="22" width="9.1640625" bestFit="1" customWidth="1"/>
    <col min="25" max="25" width="9.1640625" bestFit="1" customWidth="1"/>
    <col min="31" max="31" width="9.1640625" bestFit="1" customWidth="1"/>
    <col min="37" max="37" width="9.1640625" bestFit="1" customWidth="1"/>
    <col min="43" max="43" width="9.1640625" bestFit="1" customWidth="1"/>
    <col min="46" max="46" width="9.1640625" bestFit="1" customWidth="1"/>
    <col min="52" max="52" width="9.1640625" bestFit="1" customWidth="1"/>
    <col min="58" max="58" width="9.1640625" bestFit="1" customWidth="1"/>
    <col min="64" max="64" width="9.1640625" bestFit="1" customWidth="1"/>
  </cols>
  <sheetData>
    <row r="1" spans="1:65" ht="16" x14ac:dyDescent="0.2">
      <c r="B1" s="64" t="s">
        <v>225</v>
      </c>
    </row>
    <row r="2" spans="1:65" x14ac:dyDescent="0.2">
      <c r="B2" s="144" t="s">
        <v>232</v>
      </c>
    </row>
    <row r="3" spans="1:65" x14ac:dyDescent="0.2">
      <c r="B3" t="s">
        <v>233</v>
      </c>
    </row>
    <row r="4" spans="1:65" x14ac:dyDescent="0.2">
      <c r="B4" t="s">
        <v>234</v>
      </c>
    </row>
    <row r="5" spans="1:65" x14ac:dyDescent="0.2">
      <c r="B5" t="s">
        <v>226</v>
      </c>
    </row>
    <row r="6" spans="1:65" x14ac:dyDescent="0.2">
      <c r="B6" t="s">
        <v>357</v>
      </c>
    </row>
    <row r="7" spans="1:65" x14ac:dyDescent="0.2">
      <c r="A7" s="3" t="s">
        <v>236</v>
      </c>
      <c r="B7" s="3" t="s">
        <v>235</v>
      </c>
    </row>
    <row r="9" spans="1:65" ht="16" thickBot="1" x14ac:dyDescent="0.25">
      <c r="B9" s="7" t="s">
        <v>231</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65" ht="65" thickBot="1" x14ac:dyDescent="0.25">
      <c r="B10" s="134" t="s">
        <v>115</v>
      </c>
      <c r="C10" s="90" t="s">
        <v>116</v>
      </c>
      <c r="D10" s="91" t="s">
        <v>117</v>
      </c>
      <c r="E10" s="91" t="s">
        <v>118</v>
      </c>
      <c r="F10" s="91" t="s">
        <v>119</v>
      </c>
      <c r="G10" s="92" t="s">
        <v>120</v>
      </c>
      <c r="H10" s="90" t="s">
        <v>121</v>
      </c>
      <c r="I10" s="91" t="s">
        <v>122</v>
      </c>
      <c r="J10" s="91" t="s">
        <v>123</v>
      </c>
      <c r="K10" s="91" t="s">
        <v>124</v>
      </c>
      <c r="L10" s="92" t="s">
        <v>125</v>
      </c>
      <c r="M10" s="90" t="s">
        <v>126</v>
      </c>
      <c r="N10" s="91" t="s">
        <v>127</v>
      </c>
      <c r="O10" s="91" t="s">
        <v>128</v>
      </c>
      <c r="P10" s="91" t="s">
        <v>129</v>
      </c>
      <c r="Q10" s="92" t="s">
        <v>130</v>
      </c>
      <c r="R10" s="93" t="s">
        <v>131</v>
      </c>
      <c r="S10" s="91" t="s">
        <v>132</v>
      </c>
      <c r="T10" s="91" t="s">
        <v>133</v>
      </c>
      <c r="U10" s="91" t="s">
        <v>134</v>
      </c>
      <c r="V10" s="91" t="s">
        <v>135</v>
      </c>
      <c r="W10" s="92" t="s">
        <v>136</v>
      </c>
      <c r="X10" s="90" t="s">
        <v>137</v>
      </c>
      <c r="Y10" s="91" t="s">
        <v>138</v>
      </c>
      <c r="Z10" s="91" t="s">
        <v>139</v>
      </c>
      <c r="AA10" s="91" t="s">
        <v>140</v>
      </c>
      <c r="AB10" s="92" t="s">
        <v>141</v>
      </c>
      <c r="AC10" s="90" t="s">
        <v>142</v>
      </c>
      <c r="AD10" s="91" t="s">
        <v>143</v>
      </c>
      <c r="AE10" s="91" t="s">
        <v>144</v>
      </c>
      <c r="AF10" s="91" t="s">
        <v>145</v>
      </c>
      <c r="AG10" s="92" t="s">
        <v>146</v>
      </c>
      <c r="AH10" s="90" t="s">
        <v>147</v>
      </c>
      <c r="AI10" s="91" t="s">
        <v>148</v>
      </c>
      <c r="AJ10" s="91" t="s">
        <v>149</v>
      </c>
      <c r="AK10" s="91" t="s">
        <v>150</v>
      </c>
      <c r="AL10" s="92" t="s">
        <v>151</v>
      </c>
      <c r="AM10" s="93" t="s">
        <v>152</v>
      </c>
      <c r="AN10" s="91" t="s">
        <v>153</v>
      </c>
      <c r="AO10" s="91" t="s">
        <v>154</v>
      </c>
      <c r="AP10" s="91" t="s">
        <v>155</v>
      </c>
      <c r="AQ10" s="91" t="s">
        <v>156</v>
      </c>
      <c r="AR10" s="92" t="s">
        <v>157</v>
      </c>
      <c r="AS10" s="90" t="s">
        <v>76</v>
      </c>
      <c r="AT10" s="91" t="s">
        <v>77</v>
      </c>
      <c r="AU10" s="91" t="s">
        <v>78</v>
      </c>
      <c r="AV10" s="91" t="s">
        <v>79</v>
      </c>
      <c r="AW10" s="92" t="s">
        <v>80</v>
      </c>
      <c r="AX10" s="90" t="s">
        <v>81</v>
      </c>
      <c r="AY10" s="91" t="s">
        <v>82</v>
      </c>
      <c r="AZ10" s="91" t="s">
        <v>83</v>
      </c>
      <c r="BA10" s="91" t="s">
        <v>84</v>
      </c>
      <c r="BB10" s="92" t="s">
        <v>85</v>
      </c>
      <c r="BC10" s="90" t="s">
        <v>86</v>
      </c>
      <c r="BD10" s="91" t="s">
        <v>87</v>
      </c>
      <c r="BE10" s="91" t="s">
        <v>88</v>
      </c>
      <c r="BF10" s="91" t="s">
        <v>89</v>
      </c>
      <c r="BG10" s="92" t="s">
        <v>90</v>
      </c>
      <c r="BH10" s="93" t="s">
        <v>91</v>
      </c>
      <c r="BI10" s="91" t="s">
        <v>92</v>
      </c>
      <c r="BJ10" s="91" t="s">
        <v>93</v>
      </c>
      <c r="BK10" s="91" t="s">
        <v>94</v>
      </c>
      <c r="BL10" s="91" t="s">
        <v>95</v>
      </c>
      <c r="BM10" s="92" t="s">
        <v>96</v>
      </c>
    </row>
    <row r="11" spans="1:65" ht="16" x14ac:dyDescent="0.2">
      <c r="B11" s="135" t="s">
        <v>227</v>
      </c>
      <c r="C11" s="106">
        <v>0.59145199999999998</v>
      </c>
      <c r="D11" s="97">
        <v>0.13264633333333339</v>
      </c>
      <c r="E11" s="100">
        <v>0.20903799999999997</v>
      </c>
      <c r="F11" s="100">
        <v>6.6664000000000001E-2</v>
      </c>
      <c r="G11" s="101">
        <v>0</v>
      </c>
      <c r="H11" s="106">
        <v>0.17660799999999999</v>
      </c>
      <c r="I11" s="107">
        <v>2.2391999999999999E-2</v>
      </c>
      <c r="J11" s="97">
        <v>0.73117633333333332</v>
      </c>
      <c r="K11" s="100">
        <v>3.4812000000000003E-2</v>
      </c>
      <c r="L11" s="101">
        <v>3.4812000000000003E-2</v>
      </c>
      <c r="M11" s="106">
        <v>0.24519100000000002</v>
      </c>
      <c r="N11" s="107">
        <v>2.6141000000000001E-2</v>
      </c>
      <c r="O11" s="107">
        <v>9.1818999999999998E-2</v>
      </c>
      <c r="P11" s="97">
        <v>0.50452233333333341</v>
      </c>
      <c r="Q11" s="101">
        <v>0.13212699999999999</v>
      </c>
      <c r="R11" s="112">
        <v>0</v>
      </c>
      <c r="S11" s="113">
        <v>0</v>
      </c>
      <c r="T11" s="113">
        <v>5.2525999999999996E-2</v>
      </c>
      <c r="U11" s="113">
        <v>3.7418E-2</v>
      </c>
      <c r="V11" s="116">
        <v>0.90851966666666673</v>
      </c>
      <c r="W11" s="117">
        <v>1.3366666666666666E-3</v>
      </c>
      <c r="X11" s="106">
        <v>0.59281499999999998</v>
      </c>
      <c r="Y11" s="97">
        <v>0.13221333333333338</v>
      </c>
      <c r="Z11" s="100">
        <v>0.20834800000000001</v>
      </c>
      <c r="AA11" s="100">
        <v>6.6423999999999997E-2</v>
      </c>
      <c r="AB11" s="101">
        <v>0</v>
      </c>
      <c r="AC11" s="106">
        <v>0.17720499999999997</v>
      </c>
      <c r="AD11" s="107">
        <v>2.2474000000000004E-2</v>
      </c>
      <c r="AE11" s="97">
        <v>0.73075133333333342</v>
      </c>
      <c r="AF11" s="100">
        <v>3.4685000000000001E-2</v>
      </c>
      <c r="AG11" s="101">
        <v>3.4685000000000001E-2</v>
      </c>
      <c r="AH11" s="106">
        <v>0.24598299999999998</v>
      </c>
      <c r="AI11" s="107">
        <v>2.6237E-2</v>
      </c>
      <c r="AJ11" s="107">
        <v>9.2146000000000006E-2</v>
      </c>
      <c r="AK11" s="97">
        <v>0.50376433333333337</v>
      </c>
      <c r="AL11" s="94">
        <v>0.13167000000000001</v>
      </c>
      <c r="AM11" s="112">
        <v>0</v>
      </c>
      <c r="AN11" s="113">
        <v>0</v>
      </c>
      <c r="AO11" s="113">
        <v>5.2716999999999993E-2</v>
      </c>
      <c r="AP11" s="113">
        <v>3.7554999999999998E-2</v>
      </c>
      <c r="AQ11" s="116">
        <v>0.90819666666666665</v>
      </c>
      <c r="AR11" s="117">
        <v>1.3316666666666668E-3</v>
      </c>
      <c r="AS11" s="106">
        <v>0.78637999999999997</v>
      </c>
      <c r="AT11" s="97">
        <v>4.7047333333333406E-2</v>
      </c>
      <c r="AU11" s="100">
        <v>0.12715399999999999</v>
      </c>
      <c r="AV11" s="100">
        <v>3.9218999999999997E-2</v>
      </c>
      <c r="AW11" s="101">
        <v>0</v>
      </c>
      <c r="AX11" s="106">
        <v>0.284721</v>
      </c>
      <c r="AY11" s="107">
        <v>3.8297999999999999E-2</v>
      </c>
      <c r="AZ11" s="97">
        <v>0.63610333333333335</v>
      </c>
      <c r="BA11" s="100">
        <v>2.0338999999999999E-2</v>
      </c>
      <c r="BB11" s="101">
        <v>2.0338999999999999E-2</v>
      </c>
      <c r="BC11" s="106">
        <v>0.38433199999999995</v>
      </c>
      <c r="BD11" s="107">
        <v>4.4648E-2</v>
      </c>
      <c r="BE11" s="107">
        <v>0.15301799999999999</v>
      </c>
      <c r="BF11" s="97">
        <v>0.33890733333333328</v>
      </c>
      <c r="BG11" s="101">
        <v>7.8895000000000007E-2</v>
      </c>
      <c r="BH11" s="112">
        <v>0</v>
      </c>
      <c r="BI11" s="113">
        <v>0</v>
      </c>
      <c r="BJ11" s="113">
        <v>8.8842000000000018E-2</v>
      </c>
      <c r="BK11" s="113">
        <v>6.3644999999999993E-2</v>
      </c>
      <c r="BL11" s="116">
        <v>0.84655800000000003</v>
      </c>
      <c r="BM11" s="117">
        <v>7.5533333333333323E-4</v>
      </c>
    </row>
    <row r="12" spans="1:65" ht="16" x14ac:dyDescent="0.2">
      <c r="B12" s="136" t="s">
        <v>228</v>
      </c>
      <c r="C12" s="108">
        <v>0.43646124999999997</v>
      </c>
      <c r="D12" s="98">
        <v>0.41889249999999995</v>
      </c>
      <c r="E12" s="102">
        <v>0.119132</v>
      </c>
      <c r="F12" s="102">
        <v>2.0116999999999999E-2</v>
      </c>
      <c r="G12" s="103">
        <v>0</v>
      </c>
      <c r="H12" s="108">
        <v>0.17660799999999999</v>
      </c>
      <c r="I12" s="109">
        <v>2.2391999999999999E-2</v>
      </c>
      <c r="J12" s="98">
        <v>0.71429199999999993</v>
      </c>
      <c r="K12" s="102">
        <v>4.0140000000000002E-2</v>
      </c>
      <c r="L12" s="103">
        <v>4.1170749999999999E-2</v>
      </c>
      <c r="M12" s="108">
        <v>0.24519099999999999</v>
      </c>
      <c r="N12" s="109">
        <v>2.6141000000000001E-2</v>
      </c>
      <c r="O12" s="109">
        <v>9.1818999999999998E-2</v>
      </c>
      <c r="P12" s="98">
        <v>0.41614674999999995</v>
      </c>
      <c r="Q12" s="103">
        <v>0.215305</v>
      </c>
      <c r="R12" s="114">
        <v>0</v>
      </c>
      <c r="S12" s="109">
        <v>0</v>
      </c>
      <c r="T12" s="109">
        <v>3.7458999999999999E-2</v>
      </c>
      <c r="U12" s="109">
        <v>3.1790499999999999E-2</v>
      </c>
      <c r="V12" s="98">
        <v>0.91122724999999993</v>
      </c>
      <c r="W12" s="103">
        <v>1.4126E-2</v>
      </c>
      <c r="X12" s="108">
        <v>0.43766475000000005</v>
      </c>
      <c r="Y12" s="98">
        <v>0.41817850000000001</v>
      </c>
      <c r="Z12" s="102">
        <v>0.118717</v>
      </c>
      <c r="AA12" s="102">
        <v>2.0042499999999998E-2</v>
      </c>
      <c r="AB12" s="103">
        <v>0</v>
      </c>
      <c r="AC12" s="108">
        <v>0.177205</v>
      </c>
      <c r="AD12" s="109">
        <v>2.2474000000000001E-2</v>
      </c>
      <c r="AE12" s="98">
        <v>0.71390849999999995</v>
      </c>
      <c r="AF12" s="102">
        <v>3.9994000000000002E-2</v>
      </c>
      <c r="AG12" s="103">
        <v>4.1021250000000002E-2</v>
      </c>
      <c r="AH12" s="108">
        <v>0.24598300000000001</v>
      </c>
      <c r="AI12" s="109">
        <v>2.6237E-2</v>
      </c>
      <c r="AJ12" s="109">
        <v>9.2146000000000006E-2</v>
      </c>
      <c r="AK12" s="98">
        <v>0.41563824999999999</v>
      </c>
      <c r="AL12" s="95">
        <v>0.2145985</v>
      </c>
      <c r="AM12" s="114">
        <v>0</v>
      </c>
      <c r="AN12" s="109">
        <v>0</v>
      </c>
      <c r="AO12" s="109">
        <v>3.7595499999999997E-2</v>
      </c>
      <c r="AP12" s="109">
        <v>3.1907249999999998E-2</v>
      </c>
      <c r="AQ12" s="98">
        <v>0.91102624999999993</v>
      </c>
      <c r="AR12" s="103">
        <v>1.4073749999999999E-2</v>
      </c>
      <c r="AS12" s="108">
        <v>0.62775775</v>
      </c>
      <c r="AT12" s="98">
        <v>0.28420100000000004</v>
      </c>
      <c r="AU12" s="102">
        <v>7.0921999999999999E-2</v>
      </c>
      <c r="AV12" s="102">
        <v>1.1722E-2</v>
      </c>
      <c r="AW12" s="103">
        <v>0</v>
      </c>
      <c r="AX12" s="108">
        <v>0.284721</v>
      </c>
      <c r="AY12" s="109">
        <v>3.8297999999999999E-2</v>
      </c>
      <c r="AZ12" s="98">
        <v>0.62401899999999999</v>
      </c>
      <c r="BA12" s="102">
        <v>2.3477999999999999E-2</v>
      </c>
      <c r="BB12" s="103">
        <v>2.4086749999999997E-2</v>
      </c>
      <c r="BC12" s="108">
        <v>0.38433200000000001</v>
      </c>
      <c r="BD12" s="109">
        <v>4.4648E-2</v>
      </c>
      <c r="BE12" s="109">
        <v>0.15301799999999999</v>
      </c>
      <c r="BF12" s="98">
        <v>0.28137224999999993</v>
      </c>
      <c r="BG12" s="103">
        <v>0.1312325</v>
      </c>
      <c r="BH12" s="114">
        <v>0</v>
      </c>
      <c r="BI12" s="109">
        <v>0</v>
      </c>
      <c r="BJ12" s="109">
        <v>6.3570000000000002E-2</v>
      </c>
      <c r="BK12" s="109">
        <v>5.4125749999999993E-2</v>
      </c>
      <c r="BL12" s="98">
        <v>0.86890174999999992</v>
      </c>
      <c r="BM12" s="103">
        <v>8.0052500000000002E-3</v>
      </c>
    </row>
    <row r="13" spans="1:65" ht="16" x14ac:dyDescent="0.2">
      <c r="B13" s="136" t="s">
        <v>229</v>
      </c>
      <c r="C13" s="108">
        <v>0.26398274999999999</v>
      </c>
      <c r="D13" s="98">
        <v>0.62208375000000005</v>
      </c>
      <c r="E13" s="102">
        <v>9.2994999999999994E-2</v>
      </c>
      <c r="F13" s="102">
        <v>6.7190000000000001E-3</v>
      </c>
      <c r="G13" s="103">
        <v>0</v>
      </c>
      <c r="H13" s="108">
        <v>0.17660799999999999</v>
      </c>
      <c r="I13" s="109">
        <v>2.2391999999999999E-2</v>
      </c>
      <c r="J13" s="98">
        <v>0.68909249999999989</v>
      </c>
      <c r="K13" s="102">
        <v>5.3425E-2</v>
      </c>
      <c r="L13" s="103">
        <v>4.4262999999999997E-2</v>
      </c>
      <c r="M13" s="108">
        <v>0.24519099999999999</v>
      </c>
      <c r="N13" s="109">
        <v>2.6141000000000001E-2</v>
      </c>
      <c r="O13" s="109">
        <v>9.1818999999999998E-2</v>
      </c>
      <c r="P13" s="98">
        <v>0.3386087499999999</v>
      </c>
      <c r="Q13" s="103">
        <v>0.28402075000000004</v>
      </c>
      <c r="R13" s="114">
        <v>0</v>
      </c>
      <c r="S13" s="109">
        <v>0</v>
      </c>
      <c r="T13" s="109">
        <v>1.4918499999999999E-2</v>
      </c>
      <c r="U13" s="109">
        <v>9.3095000000000001E-3</v>
      </c>
      <c r="V13" s="98">
        <v>0.92913724999999991</v>
      </c>
      <c r="W13" s="103">
        <v>3.2415249999999993E-2</v>
      </c>
      <c r="X13" s="108">
        <v>0.26482074999999999</v>
      </c>
      <c r="Y13" s="98">
        <v>0.62159975000000001</v>
      </c>
      <c r="Z13" s="102">
        <v>9.2665999999999998E-2</v>
      </c>
      <c r="AA13" s="102">
        <v>6.6940000000000003E-3</v>
      </c>
      <c r="AB13" s="103">
        <v>0</v>
      </c>
      <c r="AC13" s="108">
        <v>0.177205</v>
      </c>
      <c r="AD13" s="109">
        <v>2.2474000000000001E-2</v>
      </c>
      <c r="AE13" s="98">
        <v>0.68876649999999995</v>
      </c>
      <c r="AF13" s="102">
        <v>5.3232000000000002E-2</v>
      </c>
      <c r="AG13" s="103">
        <v>4.4103000000000003E-2</v>
      </c>
      <c r="AH13" s="108">
        <v>0.24598300000000001</v>
      </c>
      <c r="AI13" s="109">
        <v>2.6237E-2</v>
      </c>
      <c r="AJ13" s="109">
        <v>9.2146000000000006E-2</v>
      </c>
      <c r="AK13" s="98">
        <v>0.33828224999999995</v>
      </c>
      <c r="AL13" s="95">
        <v>0.28313224999999997</v>
      </c>
      <c r="AM13" s="114">
        <v>0</v>
      </c>
      <c r="AN13" s="109">
        <v>0</v>
      </c>
      <c r="AO13" s="109">
        <v>1.4973E-2</v>
      </c>
      <c r="AP13" s="109">
        <v>9.3434999999999994E-3</v>
      </c>
      <c r="AQ13" s="98">
        <v>0.92916699999999997</v>
      </c>
      <c r="AR13" s="103">
        <v>3.2296999999999999E-2</v>
      </c>
      <c r="AS13" s="108">
        <v>0.40971574999999999</v>
      </c>
      <c r="AT13" s="98">
        <v>0.51712974999999994</v>
      </c>
      <c r="AU13" s="102">
        <v>5.5032999999999999E-2</v>
      </c>
      <c r="AV13" s="102">
        <v>3.9020000000000001E-3</v>
      </c>
      <c r="AW13" s="103">
        <v>0</v>
      </c>
      <c r="AX13" s="108">
        <v>0.284721</v>
      </c>
      <c r="AY13" s="109">
        <v>3.8297999999999999E-2</v>
      </c>
      <c r="AZ13" s="98">
        <v>0.60550850000000001</v>
      </c>
      <c r="BA13" s="102">
        <v>3.134E-2</v>
      </c>
      <c r="BB13" s="103">
        <v>2.5912999999999999E-2</v>
      </c>
      <c r="BC13" s="108">
        <v>0.38433200000000001</v>
      </c>
      <c r="BD13" s="109">
        <v>4.4648E-2</v>
      </c>
      <c r="BE13" s="109">
        <v>0.15301799999999999</v>
      </c>
      <c r="BF13" s="98">
        <v>0.22758199999999995</v>
      </c>
      <c r="BG13" s="103">
        <v>0.17620050000000001</v>
      </c>
      <c r="BH13" s="114">
        <v>0</v>
      </c>
      <c r="BI13" s="109">
        <v>0</v>
      </c>
      <c r="BJ13" s="109">
        <v>2.5549999999999996E-2</v>
      </c>
      <c r="BK13" s="109">
        <v>1.5996E-2</v>
      </c>
      <c r="BL13" s="98">
        <v>0.92580125000000002</v>
      </c>
      <c r="BM13" s="103">
        <v>1.8433249999999998E-2</v>
      </c>
    </row>
    <row r="14" spans="1:65" ht="17" thickBot="1" x14ac:dyDescent="0.25">
      <c r="B14" s="137" t="s">
        <v>230</v>
      </c>
      <c r="C14" s="110">
        <v>0.23293700000000003</v>
      </c>
      <c r="D14" s="99">
        <v>0.63785533333333333</v>
      </c>
      <c r="E14" s="104">
        <v>9.2994999999999994E-2</v>
      </c>
      <c r="F14" s="104">
        <v>6.7190000000000001E-3</v>
      </c>
      <c r="G14" s="105">
        <v>0</v>
      </c>
      <c r="H14" s="110">
        <v>0.17660799999999999</v>
      </c>
      <c r="I14" s="111">
        <v>2.2391999999999999E-2</v>
      </c>
      <c r="J14" s="99">
        <v>0.6738183333333333</v>
      </c>
      <c r="K14" s="104">
        <v>5.3425E-2</v>
      </c>
      <c r="L14" s="105">
        <v>4.4262999999999997E-2</v>
      </c>
      <c r="M14" s="110">
        <v>0.24519100000000002</v>
      </c>
      <c r="N14" s="111">
        <v>2.6141000000000001E-2</v>
      </c>
      <c r="O14" s="111">
        <v>9.1818999999999998E-2</v>
      </c>
      <c r="P14" s="99">
        <v>0.28246066666666664</v>
      </c>
      <c r="Q14" s="105">
        <v>0.32489466666666661</v>
      </c>
      <c r="R14" s="115">
        <v>0</v>
      </c>
      <c r="S14" s="111">
        <v>0</v>
      </c>
      <c r="T14" s="111">
        <v>7.4450000000000002E-3</v>
      </c>
      <c r="U14" s="111">
        <v>4.9616666666666672E-3</v>
      </c>
      <c r="V14" s="99">
        <v>0.919902</v>
      </c>
      <c r="W14" s="105">
        <v>3.8197666666666664E-2</v>
      </c>
      <c r="X14" s="110">
        <v>0.23369500000000001</v>
      </c>
      <c r="Y14" s="99">
        <v>0.63745133333333326</v>
      </c>
      <c r="Z14" s="104">
        <v>9.2665999999999984E-2</v>
      </c>
      <c r="AA14" s="104">
        <v>6.6940000000000012E-3</v>
      </c>
      <c r="AB14" s="105">
        <v>0</v>
      </c>
      <c r="AC14" s="110">
        <v>0.17720499999999997</v>
      </c>
      <c r="AD14" s="111">
        <v>2.2474000000000004E-2</v>
      </c>
      <c r="AE14" s="99">
        <v>0.67349233333333325</v>
      </c>
      <c r="AF14" s="104">
        <v>5.3232000000000002E-2</v>
      </c>
      <c r="AG14" s="105">
        <v>4.4103000000000003E-2</v>
      </c>
      <c r="AH14" s="110">
        <v>0.24598299999999998</v>
      </c>
      <c r="AI14" s="111">
        <v>2.6237E-2</v>
      </c>
      <c r="AJ14" s="111">
        <v>9.2146000000000006E-2</v>
      </c>
      <c r="AK14" s="99">
        <v>0.28223199999999998</v>
      </c>
      <c r="AL14" s="96">
        <v>0.3239083333333333</v>
      </c>
      <c r="AM14" s="115">
        <v>0</v>
      </c>
      <c r="AN14" s="111">
        <v>0</v>
      </c>
      <c r="AO14" s="111">
        <v>7.4720000000000003E-3</v>
      </c>
      <c r="AP14" s="111">
        <v>4.9800000000000001E-3</v>
      </c>
      <c r="AQ14" s="99">
        <v>0.9199963333333333</v>
      </c>
      <c r="AR14" s="105">
        <v>3.8058000000000002E-2</v>
      </c>
      <c r="AS14" s="110">
        <v>0.36699399999999999</v>
      </c>
      <c r="AT14" s="99">
        <v>0.54457733333333325</v>
      </c>
      <c r="AU14" s="104">
        <v>5.5032999999999999E-2</v>
      </c>
      <c r="AV14" s="104">
        <v>3.9020000000000005E-3</v>
      </c>
      <c r="AW14" s="105">
        <v>0</v>
      </c>
      <c r="AX14" s="110">
        <v>0.284721</v>
      </c>
      <c r="AY14" s="111">
        <v>3.8297999999999999E-2</v>
      </c>
      <c r="AZ14" s="99">
        <v>0.59023433333333319</v>
      </c>
      <c r="BA14" s="104">
        <v>3.134E-2</v>
      </c>
      <c r="BB14" s="105">
        <v>2.5913000000000002E-2</v>
      </c>
      <c r="BC14" s="110">
        <v>0.38433199999999995</v>
      </c>
      <c r="BD14" s="111">
        <v>4.4648E-2</v>
      </c>
      <c r="BE14" s="111">
        <v>0.15301799999999999</v>
      </c>
      <c r="BF14" s="99">
        <v>0.18472799999999998</v>
      </c>
      <c r="BG14" s="105">
        <v>0.20378033333333334</v>
      </c>
      <c r="BH14" s="115">
        <v>0</v>
      </c>
      <c r="BI14" s="111">
        <v>0</v>
      </c>
      <c r="BJ14" s="111">
        <v>1.2801999999999999E-2</v>
      </c>
      <c r="BK14" s="111">
        <v>8.5379999999999987E-3</v>
      </c>
      <c r="BL14" s="99">
        <v>0.92741933333333326</v>
      </c>
      <c r="BM14" s="105">
        <v>2.1746999999999999E-2</v>
      </c>
    </row>
    <row r="16" spans="1:65" x14ac:dyDescent="0.2">
      <c r="B16" s="7" t="s">
        <v>356</v>
      </c>
      <c r="H16" s="89"/>
      <c r="M16" s="89"/>
    </row>
    <row r="17" spans="1:22" ht="32" x14ac:dyDescent="0.2">
      <c r="B17" s="131"/>
      <c r="C17" s="132" t="s">
        <v>220</v>
      </c>
      <c r="D17" s="133" t="s">
        <v>172</v>
      </c>
      <c r="E17" s="133" t="s">
        <v>178</v>
      </c>
      <c r="F17" s="133" t="s">
        <v>222</v>
      </c>
      <c r="M17" s="89"/>
    </row>
    <row r="18" spans="1:22" x14ac:dyDescent="0.2">
      <c r="B18" s="129">
        <v>16</v>
      </c>
      <c r="C18" s="131">
        <v>0.13100000000000001</v>
      </c>
      <c r="D18" s="131">
        <v>0.16800000000000001</v>
      </c>
      <c r="E18" s="131">
        <f>AVERAGE(D18,F18)</f>
        <v>0.23549999999999999</v>
      </c>
      <c r="F18" s="131">
        <v>0.30299999999999999</v>
      </c>
    </row>
    <row r="19" spans="1:22" x14ac:dyDescent="0.2">
      <c r="B19" s="129">
        <v>18</v>
      </c>
      <c r="C19" s="131">
        <v>8.3000000000000004E-2</v>
      </c>
      <c r="D19" s="131">
        <v>8.3000000000000004E-2</v>
      </c>
      <c r="E19" s="131">
        <f>AVERAGE(D19,F19)</f>
        <v>8.7499999999999994E-2</v>
      </c>
      <c r="F19" s="131">
        <v>9.1999999999999998E-2</v>
      </c>
    </row>
    <row r="20" spans="1:22" x14ac:dyDescent="0.2">
      <c r="B20" s="129" t="s">
        <v>221</v>
      </c>
      <c r="C20" s="131">
        <v>0.36799999999999999</v>
      </c>
      <c r="D20" s="131">
        <v>0.42</v>
      </c>
      <c r="E20" s="131">
        <f>AVERAGE(D20,F20)</f>
        <v>0.42699999999999999</v>
      </c>
      <c r="F20" s="131">
        <v>0.434</v>
      </c>
    </row>
    <row r="21" spans="1:22" x14ac:dyDescent="0.2">
      <c r="B21" s="130" t="s">
        <v>175</v>
      </c>
      <c r="C21" s="131">
        <v>0.41799999999999998</v>
      </c>
      <c r="D21" s="131">
        <v>0.32900000000000001</v>
      </c>
      <c r="E21" s="131">
        <f>AVERAGE(D21,F21)</f>
        <v>0.25</v>
      </c>
      <c r="F21" s="131">
        <v>0.17100000000000001</v>
      </c>
    </row>
    <row r="23" spans="1:22" x14ac:dyDescent="0.2">
      <c r="B23" s="3" t="s">
        <v>223</v>
      </c>
      <c r="L23" s="3" t="s">
        <v>224</v>
      </c>
    </row>
    <row r="24" spans="1:22" ht="85" x14ac:dyDescent="0.2">
      <c r="B24" s="65" t="s">
        <v>115</v>
      </c>
      <c r="C24" s="62" t="s">
        <v>167</v>
      </c>
      <c r="D24" s="65" t="s">
        <v>172</v>
      </c>
      <c r="E24" s="72" t="s">
        <v>178</v>
      </c>
      <c r="F24" s="65" t="s">
        <v>209</v>
      </c>
      <c r="G24" s="72" t="s">
        <v>187</v>
      </c>
      <c r="H24" s="65" t="s">
        <v>171</v>
      </c>
      <c r="I24" s="72" t="s">
        <v>177</v>
      </c>
      <c r="J24" s="65" t="s">
        <v>181</v>
      </c>
      <c r="L24" s="65" t="s">
        <v>115</v>
      </c>
      <c r="M24" s="62" t="s">
        <v>167</v>
      </c>
      <c r="N24" s="65" t="s">
        <v>172</v>
      </c>
      <c r="O24" s="72" t="s">
        <v>178</v>
      </c>
      <c r="P24" s="65" t="s">
        <v>209</v>
      </c>
      <c r="Q24" s="72" t="s">
        <v>187</v>
      </c>
      <c r="R24" s="65" t="s">
        <v>171</v>
      </c>
      <c r="S24" s="72" t="s">
        <v>177</v>
      </c>
      <c r="T24" s="65" t="s">
        <v>181</v>
      </c>
    </row>
    <row r="25" spans="1:22" ht="16" x14ac:dyDescent="0.2">
      <c r="A25" t="s">
        <v>238</v>
      </c>
      <c r="B25" s="123" t="s">
        <v>242</v>
      </c>
      <c r="C25" s="124">
        <f t="array" ref="C25:C28">(C$18/SUM(C$18:C$20))*(E11:E14 + F11:F14 +G11:G14) + (C19/SUM(C$18:C$20))*(Z11:Z14 + AA11:AA14 + AB11:AB14) + (C$20/SUM(C$18:C$20))*(Z11:Z14+AA11:AA14 +AB11:AB14)*0.95</f>
        <v>0.26629438006872852</v>
      </c>
      <c r="D25" s="125">
        <f t="array" ref="D25:D28">(D18/SUM(D18:D20))*(K11:K14 + L11:L14) + (D19/SUM(D18:D20))*(AF11:AF14 + AG11:AG14) + (D20/SUM(D18:D20))*(AF11:AF14 + AG11:AG14)*0.9</f>
        <v>6.5091508196721312E-2</v>
      </c>
      <c r="E25" s="124">
        <f t="array" ref="E25:E28">(E18/SUM(E18:E20))*(Q11:Q14 ) + (E19/SUM(E18:E20))*(AL11:AL14) + (E20/SUM(E18:E20))*(AL11:AL14)*0.85</f>
        <v>0.12056888000000002</v>
      </c>
      <c r="F25" s="125">
        <f t="array" ref="F25:F28">(F18/SUM(F18:F20))*W11:W14 + (F19/SUM(F18:F20))*AR11:AR14 + (F20/SUM(F18:F20))*AR11:AR14*0.75</f>
        <v>1.1592048652995578E-3</v>
      </c>
      <c r="G25" s="124">
        <f t="array" ref="G25:G28">(C18/SUM(C18:C20))*(C11:C14) + (C19/SUM(C18:C20))*(X11:X14)+ (C20/SUM(C18:C20))*(X11:X14)*1.05</f>
        <v>0.61125012542955315</v>
      </c>
      <c r="H25" s="125">
        <f t="array" ref="H25:H28">(D18/SUM(D18:D20))*(I11:I14 + H11:H14) + (D19/SUM(D18:D20))*(AD11:AD14 + AC11:AC14) + (D20/SUM(D18:D20))*(AD11:AD14 + AC11:AC14)*1.1</f>
        <v>0.21200753353204171</v>
      </c>
      <c r="I25" s="124">
        <f t="array" ref="I25:I28">(E18/SUM(E18:E20))*(O11:O14 + N11:N14 + M11:M14) + (E19/SUM(E18:E20))*(AJ11:AJ14 + AI11:AI14 + AH11:AH14) + (E20/SUM(E18:E20))*(AJ11:AJ14 + AI11:AI14 + AH11:AH14)*1.15</f>
        <v>0.39510134639999994</v>
      </c>
      <c r="J25" s="125">
        <f t="array" ref="J25:J28">(F18/SUM(F18:F20))*(U11:U14 + T11:T14 + S11:S14 + R11:R14) + (F19/SUM(F18:F20))*(AP11:AP14 + AO11:AO14 +AN11:AN14 + AM11:AM14) + (F20/SUM(F18:F20))*(AP11:AP14 + AO11:AO14 +AN11:AN14 + AM11:AM14)*1.25</f>
        <v>0.10196696743063932</v>
      </c>
      <c r="L25" s="123" t="s">
        <v>242</v>
      </c>
      <c r="M25" s="126">
        <f t="array" ref="M25:M28">((AU11:AU14 + AV11:AV14 + AW11:AW14) - (Z11:Z14+AA11:AA14 +AB11:AB14)*0.95*(C20/SUM(C20:C21)))/(1-(C20/SUM(C20:C21)))</f>
        <v>8.3035614354066964E-2</v>
      </c>
      <c r="N25" s="125">
        <f t="array" ref="N25:N28">((BA11:BA14+BB11:BB14)-(AF11:AF14+AG11:AG14)*0.9*(D20/SUM(D20:D21)))/(1-(D20/SUM(D20:D21)))</f>
        <v>1.2905659574468088E-2</v>
      </c>
      <c r="O25" s="138">
        <f t="array" ref="O25:O28">(BG11:BG14 - (AL11:AL14)*0.85*(E20/SUM(E20:E21)))/(1-(E20/SUM(E20:E21)))</f>
        <v>2.2489154000000015E-2</v>
      </c>
      <c r="P25" s="141">
        <f t="array" ref="P25:P28" xml:space="preserve"> (BM11:BM14 - (AR11:AR14*0.75*(F20/SUM(F20:F21))))/(1-(F20/SUM(F20:F21)))</f>
        <v>1.3753898635477535E-4</v>
      </c>
      <c r="Q25" s="138">
        <f t="array" ref="Q25:Q28">(AS11:AS14 - (X11:X14)*1.05*(C20/SUM(C20:C21)))/(1-(C20/SUM(C20:C21)))</f>
        <v>0.9306960861244018</v>
      </c>
      <c r="R25" s="125">
        <f t="array" ref="R25:R28" xml:space="preserve"> ((AY11:AY14+AX11:AX14) - (AD11:AD14 + AC11:AC14)*1.1*(D20/SUM(D20:D21)))/(1-(D20/SUM(D20:D21)))</f>
        <v>0.45498338297872343</v>
      </c>
      <c r="S25" s="138">
        <f t="array" ref="S25:S28">((BE11:BE14 + BD11:BD14 + BC11:BC14) - (AJ11:AJ14 + AI11:AI14 + AH11:AH14)*1.15*(E20/SUM(E20:E21)))/(1-(E20/SUM(E20:E21)))</f>
        <v>0.86036288679999984</v>
      </c>
      <c r="T25" s="125">
        <f t="array" ref="T25:T28">((BK11:BK14 + BJ11:BJ14 + BI11:BI14 + BH11:BH14) - (AP11:AP14 + AO11:AO14 +AN11:AN14 + AM11:AM14)*1.25*(F20/SUM(F20:F21)))/(1-(F20/SUM(F20:F21)))</f>
        <v>0.25311154970760236</v>
      </c>
    </row>
    <row r="26" spans="1:22" ht="16" x14ac:dyDescent="0.2">
      <c r="B26" s="121" t="s">
        <v>243</v>
      </c>
      <c r="C26" s="61">
        <v>0.13448278127147767</v>
      </c>
      <c r="D26" s="86">
        <v>7.6018235842026827E-2</v>
      </c>
      <c r="E26" s="61">
        <v>0.19649362910000001</v>
      </c>
      <c r="F26" s="86">
        <v>1.2250866857659831E-2</v>
      </c>
      <c r="G26" s="61">
        <v>0.45123068281786938</v>
      </c>
      <c r="H26" s="86">
        <v>0.21200753353204171</v>
      </c>
      <c r="I26" s="61">
        <v>0.3951013464</v>
      </c>
      <c r="J26" s="86">
        <v>7.8506747135102528E-2</v>
      </c>
      <c r="L26" s="121" t="s">
        <v>243</v>
      </c>
      <c r="M26" s="61">
        <v>3.9348954066985652E-2</v>
      </c>
      <c r="N26" s="86">
        <v>1.5204356382978696E-2</v>
      </c>
      <c r="O26" s="139">
        <v>4.3823507700000049E-2</v>
      </c>
      <c r="P26" s="142">
        <v>1.5331615497076036E-3</v>
      </c>
      <c r="Q26" s="61">
        <v>0.7758467275119616</v>
      </c>
      <c r="R26" s="86">
        <v>0.45498338297872337</v>
      </c>
      <c r="S26" s="139">
        <v>0.86036288679999995</v>
      </c>
      <c r="T26" s="86">
        <v>0.19591044956140347</v>
      </c>
    </row>
    <row r="27" spans="1:22" ht="16" x14ac:dyDescent="0.2">
      <c r="B27" s="121" t="s">
        <v>244</v>
      </c>
      <c r="C27" s="61">
        <v>9.6298402061855651E-2</v>
      </c>
      <c r="D27" s="86">
        <v>9.1330877794336823E-2</v>
      </c>
      <c r="E27" s="61">
        <v>0.25923174485</v>
      </c>
      <c r="F27" s="86">
        <v>2.8113170386007233E-2</v>
      </c>
      <c r="G27" s="61">
        <v>0.27300446786941579</v>
      </c>
      <c r="H27" s="86">
        <v>0.21200753353204171</v>
      </c>
      <c r="I27" s="61">
        <v>0.3951013464</v>
      </c>
      <c r="J27" s="86">
        <v>2.746671079613993E-2</v>
      </c>
      <c r="L27" s="121" t="s">
        <v>244</v>
      </c>
      <c r="M27" s="61">
        <v>2.7719267942583732E-2</v>
      </c>
      <c r="N27" s="86">
        <v>1.851023404255318E-2</v>
      </c>
      <c r="O27" s="139">
        <v>6.6099553450000056E-2</v>
      </c>
      <c r="P27" s="142">
        <v>3.7394312865497051E-3</v>
      </c>
      <c r="Q27" s="61">
        <v>0.52562163086124392</v>
      </c>
      <c r="R27" s="86">
        <v>0.45498338297872337</v>
      </c>
      <c r="S27" s="139">
        <v>0.86036288679999995</v>
      </c>
      <c r="T27" s="86">
        <v>6.9845782163742695E-2</v>
      </c>
    </row>
    <row r="28" spans="1:22" ht="16.5" customHeight="1" x14ac:dyDescent="0.2">
      <c r="B28" s="122" t="s">
        <v>230</v>
      </c>
      <c r="C28" s="87">
        <v>9.6298402061855637E-2</v>
      </c>
      <c r="D28" s="88">
        <v>9.1330877794336823E-2</v>
      </c>
      <c r="E28" s="87">
        <v>0.29655627033333332</v>
      </c>
      <c r="F28" s="88">
        <v>3.3127995174909532E-2</v>
      </c>
      <c r="G28" s="87">
        <v>0.24091268041237113</v>
      </c>
      <c r="H28" s="88">
        <v>0.21200753353204171</v>
      </c>
      <c r="I28" s="87">
        <v>0.39510134639999994</v>
      </c>
      <c r="J28" s="88">
        <v>1.4065155609167674E-2</v>
      </c>
      <c r="L28" s="122" t="s">
        <v>230</v>
      </c>
      <c r="M28" s="87">
        <v>2.7719267942583746E-2</v>
      </c>
      <c r="N28" s="88">
        <v>1.851023404255318E-2</v>
      </c>
      <c r="O28" s="140">
        <v>8.1587024333333438E-2</v>
      </c>
      <c r="P28" s="143">
        <v>4.4974035087719244E-3</v>
      </c>
      <c r="Q28" s="87">
        <v>0.47406109090909082</v>
      </c>
      <c r="R28" s="88">
        <v>0.45498338297872343</v>
      </c>
      <c r="S28" s="140">
        <v>0.86036288679999984</v>
      </c>
      <c r="T28" s="88">
        <v>3.599701754385963E-2</v>
      </c>
    </row>
    <row r="30" spans="1:22" x14ac:dyDescent="0.2">
      <c r="B30" s="3" t="s">
        <v>245</v>
      </c>
    </row>
    <row r="31" spans="1:22" ht="85" x14ac:dyDescent="0.2">
      <c r="B31" s="118" t="s">
        <v>115</v>
      </c>
      <c r="C31" s="120" t="s">
        <v>167</v>
      </c>
      <c r="D31" s="118" t="s">
        <v>172</v>
      </c>
      <c r="E31" s="120" t="s">
        <v>178</v>
      </c>
      <c r="F31" s="118" t="s">
        <v>209</v>
      </c>
      <c r="G31" s="120" t="s">
        <v>187</v>
      </c>
      <c r="H31" s="118" t="s">
        <v>171</v>
      </c>
      <c r="I31" s="120" t="s">
        <v>177</v>
      </c>
      <c r="J31" s="118" t="s">
        <v>181</v>
      </c>
      <c r="L31" s="118" t="s">
        <v>115</v>
      </c>
      <c r="M31" s="119" t="s">
        <v>167</v>
      </c>
      <c r="N31" s="118" t="s">
        <v>172</v>
      </c>
      <c r="O31" s="120" t="s">
        <v>178</v>
      </c>
      <c r="P31" s="118" t="s">
        <v>209</v>
      </c>
      <c r="Q31" s="120" t="s">
        <v>187</v>
      </c>
      <c r="R31" s="118" t="s">
        <v>171</v>
      </c>
      <c r="S31" s="120" t="s">
        <v>177</v>
      </c>
      <c r="T31" s="118" t="s">
        <v>181</v>
      </c>
      <c r="U31" s="3"/>
      <c r="V31" s="3"/>
    </row>
    <row r="32" spans="1:22" x14ac:dyDescent="0.2">
      <c r="B32" s="145" t="s">
        <v>243</v>
      </c>
      <c r="C32" s="146">
        <f t="shared" ref="C32:J34" si="0">C26/C$25</f>
        <v>0.50501546910891892</v>
      </c>
      <c r="D32" s="146">
        <f t="shared" si="0"/>
        <v>1.1678671757348511</v>
      </c>
      <c r="E32" s="146">
        <f t="shared" si="0"/>
        <v>1.6297209454048174</v>
      </c>
      <c r="F32" s="146">
        <f t="shared" si="0"/>
        <v>10.568336300498535</v>
      </c>
      <c r="G32" s="146">
        <f t="shared" si="0"/>
        <v>0.73820955455963155</v>
      </c>
      <c r="H32" s="146">
        <f t="shared" si="0"/>
        <v>1</v>
      </c>
      <c r="I32" s="146">
        <f t="shared" si="0"/>
        <v>1.0000000000000002</v>
      </c>
      <c r="J32" s="146">
        <f t="shared" si="0"/>
        <v>0.76992333020499926</v>
      </c>
      <c r="K32" s="3"/>
      <c r="L32" s="145" t="s">
        <v>243</v>
      </c>
      <c r="M32" s="146">
        <f t="shared" ref="M32:T32" si="1">M26/M$25</f>
        <v>0.47388044724038819</v>
      </c>
      <c r="N32" s="146">
        <f t="shared" si="1"/>
        <v>1.1781154070620485</v>
      </c>
      <c r="O32" s="146">
        <f t="shared" si="1"/>
        <v>1.9486507896206331</v>
      </c>
      <c r="P32" s="146">
        <f t="shared" si="1"/>
        <v>11.147105197888296</v>
      </c>
      <c r="Q32" s="146">
        <f t="shared" si="1"/>
        <v>0.83361984548869994</v>
      </c>
      <c r="R32" s="146">
        <f t="shared" si="1"/>
        <v>0.99999999999999989</v>
      </c>
      <c r="S32" s="146">
        <f t="shared" si="1"/>
        <v>1.0000000000000002</v>
      </c>
      <c r="T32" s="146">
        <f t="shared" si="1"/>
        <v>0.77400833659199542</v>
      </c>
      <c r="U32" s="3"/>
      <c r="V32" s="3"/>
    </row>
    <row r="33" spans="1:22" x14ac:dyDescent="0.2">
      <c r="B33" s="121" t="s">
        <v>244</v>
      </c>
      <c r="C33" s="146">
        <f t="shared" si="0"/>
        <v>0.36162386167143962</v>
      </c>
      <c r="D33" s="146">
        <f t="shared" si="0"/>
        <v>1.4031150963396666</v>
      </c>
      <c r="E33" s="146">
        <f t="shared" si="0"/>
        <v>2.1500717668605693</v>
      </c>
      <c r="F33" s="146">
        <f t="shared" si="0"/>
        <v>24.252115590234624</v>
      </c>
      <c r="G33" s="146">
        <f t="shared" si="0"/>
        <v>0.44663298461912493</v>
      </c>
      <c r="H33" s="146">
        <f t="shared" si="0"/>
        <v>1</v>
      </c>
      <c r="I33" s="146">
        <f t="shared" si="0"/>
        <v>1.0000000000000002</v>
      </c>
      <c r="J33" s="146">
        <f t="shared" si="0"/>
        <v>0.26936871310626676</v>
      </c>
      <c r="L33" s="121" t="s">
        <v>244</v>
      </c>
      <c r="M33" s="146">
        <f t="shared" ref="M33:T33" si="2">M27/M$25</f>
        <v>0.3338238436387998</v>
      </c>
      <c r="N33" s="146">
        <f t="shared" si="2"/>
        <v>1.434272610070461</v>
      </c>
      <c r="O33" s="146">
        <f t="shared" si="2"/>
        <v>2.9391747439676927</v>
      </c>
      <c r="P33" s="146">
        <f t="shared" si="2"/>
        <v>27.188155050845133</v>
      </c>
      <c r="Q33" s="146">
        <f t="shared" si="2"/>
        <v>0.56476183654111389</v>
      </c>
      <c r="R33" s="146">
        <f t="shared" si="2"/>
        <v>0.99999999999999989</v>
      </c>
      <c r="S33" s="146">
        <f t="shared" si="2"/>
        <v>1.0000000000000002</v>
      </c>
      <c r="T33" s="146">
        <f t="shared" si="2"/>
        <v>0.27594861729711434</v>
      </c>
    </row>
    <row r="34" spans="1:22" x14ac:dyDescent="0.2">
      <c r="B34" s="122" t="s">
        <v>230</v>
      </c>
      <c r="C34" s="146">
        <f t="shared" si="0"/>
        <v>0.36162386167143956</v>
      </c>
      <c r="D34" s="146">
        <f t="shared" si="0"/>
        <v>1.4031150963396666</v>
      </c>
      <c r="E34" s="146">
        <f t="shared" si="0"/>
        <v>2.4596419103613907</v>
      </c>
      <c r="F34" s="146">
        <f t="shared" si="0"/>
        <v>28.578205774135281</v>
      </c>
      <c r="G34" s="146">
        <f t="shared" si="0"/>
        <v>0.39413109362238719</v>
      </c>
      <c r="H34" s="146">
        <f t="shared" si="0"/>
        <v>1</v>
      </c>
      <c r="I34" s="146">
        <f t="shared" si="0"/>
        <v>1</v>
      </c>
      <c r="J34" s="146">
        <f t="shared" si="0"/>
        <v>0.13793835360196596</v>
      </c>
      <c r="L34" s="122" t="s">
        <v>230</v>
      </c>
      <c r="M34" s="146">
        <f t="shared" ref="M34:T34" si="3">M28/M$25</f>
        <v>0.33382384363879997</v>
      </c>
      <c r="N34" s="146">
        <f t="shared" si="3"/>
        <v>1.434272610070461</v>
      </c>
      <c r="O34" s="146">
        <f t="shared" si="3"/>
        <v>3.627838749885095</v>
      </c>
      <c r="P34" s="146">
        <f t="shared" si="3"/>
        <v>32.699117740849736</v>
      </c>
      <c r="Q34" s="146">
        <f t="shared" si="3"/>
        <v>0.50936186148925666</v>
      </c>
      <c r="R34" s="146">
        <f t="shared" si="3"/>
        <v>1</v>
      </c>
      <c r="S34" s="146">
        <f t="shared" si="3"/>
        <v>1</v>
      </c>
      <c r="T34" s="146">
        <f t="shared" si="3"/>
        <v>0.14221799671110955</v>
      </c>
    </row>
    <row r="36" spans="1:22" x14ac:dyDescent="0.2">
      <c r="B36" s="3" t="s">
        <v>237</v>
      </c>
      <c r="C36" s="3"/>
      <c r="D36" s="3"/>
      <c r="E36" s="3"/>
      <c r="F36" s="3"/>
      <c r="G36" s="3"/>
      <c r="H36" s="3"/>
      <c r="I36" s="3"/>
      <c r="J36" s="3"/>
      <c r="K36" s="3"/>
      <c r="L36" s="3"/>
      <c r="M36" s="3"/>
      <c r="N36" s="3"/>
      <c r="O36" s="3"/>
      <c r="P36" s="3"/>
      <c r="Q36" s="3"/>
      <c r="R36" s="3"/>
      <c r="S36" s="3"/>
      <c r="T36" s="3"/>
      <c r="U36" s="3"/>
      <c r="V36" s="3"/>
    </row>
    <row r="37" spans="1:22" ht="68" x14ac:dyDescent="0.2">
      <c r="B37" s="118" t="s">
        <v>115</v>
      </c>
      <c r="C37" s="120" t="s">
        <v>167</v>
      </c>
      <c r="D37" s="118" t="s">
        <v>172</v>
      </c>
      <c r="E37" s="120" t="s">
        <v>178</v>
      </c>
      <c r="F37" s="118" t="s">
        <v>209</v>
      </c>
      <c r="G37" s="120" t="s">
        <v>187</v>
      </c>
      <c r="H37" s="118" t="s">
        <v>171</v>
      </c>
      <c r="I37" s="120" t="s">
        <v>177</v>
      </c>
      <c r="J37" s="118" t="s">
        <v>181</v>
      </c>
    </row>
    <row r="38" spans="1:22" x14ac:dyDescent="0.2">
      <c r="A38" t="s">
        <v>239</v>
      </c>
      <c r="B38" s="123" t="s">
        <v>243</v>
      </c>
      <c r="C38" s="218">
        <f>AVERAGE(C32,M32)</f>
        <v>0.48944795817465359</v>
      </c>
      <c r="D38" s="218">
        <f t="shared" ref="D38:J38" si="4">AVERAGE(D32,N32)</f>
        <v>1.1729912913984499</v>
      </c>
      <c r="E38" s="218">
        <f t="shared" si="4"/>
        <v>1.7891858675127252</v>
      </c>
      <c r="F38" s="218">
        <f t="shared" si="4"/>
        <v>10.857720749193415</v>
      </c>
      <c r="G38" s="218">
        <f t="shared" si="4"/>
        <v>0.78591470002416575</v>
      </c>
      <c r="H38" s="218">
        <f t="shared" si="4"/>
        <v>1</v>
      </c>
      <c r="I38" s="218">
        <f t="shared" si="4"/>
        <v>1.0000000000000002</v>
      </c>
      <c r="J38" s="218">
        <f t="shared" si="4"/>
        <v>0.77196583339849734</v>
      </c>
    </row>
    <row r="39" spans="1:22" x14ac:dyDescent="0.2">
      <c r="B39" s="127" t="s">
        <v>244</v>
      </c>
      <c r="C39" s="218">
        <f t="shared" ref="C39:C40" si="5">AVERAGE(C33,M33)</f>
        <v>0.34772385265511974</v>
      </c>
      <c r="D39" s="218">
        <f t="shared" ref="D39:D40" si="6">AVERAGE(D33,N33)</f>
        <v>1.4186938532050637</v>
      </c>
      <c r="E39" s="218">
        <f t="shared" ref="E39:E40" si="7">AVERAGE(E33,O33)</f>
        <v>2.5446232554141313</v>
      </c>
      <c r="F39" s="218">
        <f t="shared" ref="F39:F40" si="8">AVERAGE(F33,P33)</f>
        <v>25.720135320539878</v>
      </c>
      <c r="G39" s="218">
        <f>AVERAGE(G33,Q33)</f>
        <v>0.50569741058011941</v>
      </c>
      <c r="H39" s="218">
        <f t="shared" ref="H39:H40" si="9">AVERAGE(H33,R33)</f>
        <v>1</v>
      </c>
      <c r="I39" s="218">
        <f t="shared" ref="I39:I40" si="10">AVERAGE(I33,S33)</f>
        <v>1.0000000000000002</v>
      </c>
      <c r="J39" s="218">
        <f t="shared" ref="J39:J40" si="11">AVERAGE(J33,T33)</f>
        <v>0.27265866520169058</v>
      </c>
    </row>
    <row r="40" spans="1:22" x14ac:dyDescent="0.2">
      <c r="B40" s="128" t="s">
        <v>230</v>
      </c>
      <c r="C40" s="218">
        <f t="shared" si="5"/>
        <v>0.34772385265511974</v>
      </c>
      <c r="D40" s="218">
        <f t="shared" si="6"/>
        <v>1.4186938532050637</v>
      </c>
      <c r="E40" s="218">
        <f t="shared" si="7"/>
        <v>3.0437403301232431</v>
      </c>
      <c r="F40" s="218">
        <f t="shared" si="8"/>
        <v>30.638661757492507</v>
      </c>
      <c r="G40" s="218">
        <f t="shared" ref="G40" si="12">AVERAGE(G34,Q34)</f>
        <v>0.45174647755582192</v>
      </c>
      <c r="H40" s="218">
        <f t="shared" si="9"/>
        <v>1</v>
      </c>
      <c r="I40" s="218">
        <f t="shared" si="10"/>
        <v>1</v>
      </c>
      <c r="J40" s="218">
        <f t="shared" si="11"/>
        <v>0.14007817515653775</v>
      </c>
    </row>
    <row r="42" spans="1:22" x14ac:dyDescent="0.2">
      <c r="B42" s="3" t="s">
        <v>223</v>
      </c>
      <c r="L42" s="3" t="s">
        <v>224</v>
      </c>
    </row>
    <row r="43" spans="1:22" ht="85" x14ac:dyDescent="0.2">
      <c r="B43" s="65" t="s">
        <v>115</v>
      </c>
      <c r="C43" s="62" t="s">
        <v>167</v>
      </c>
      <c r="D43" s="65" t="s">
        <v>172</v>
      </c>
      <c r="E43" s="72" t="s">
        <v>178</v>
      </c>
      <c r="F43" s="65" t="s">
        <v>209</v>
      </c>
      <c r="G43" s="72" t="s">
        <v>187</v>
      </c>
      <c r="H43" s="65" t="s">
        <v>171</v>
      </c>
      <c r="I43" s="72" t="s">
        <v>177</v>
      </c>
      <c r="J43" s="65" t="s">
        <v>181</v>
      </c>
      <c r="L43" s="65" t="s">
        <v>115</v>
      </c>
      <c r="M43" s="62" t="s">
        <v>167</v>
      </c>
      <c r="N43" s="65" t="s">
        <v>172</v>
      </c>
      <c r="O43" s="72" t="s">
        <v>178</v>
      </c>
      <c r="P43" s="65" t="s">
        <v>209</v>
      </c>
      <c r="Q43" s="72" t="s">
        <v>187</v>
      </c>
      <c r="R43" s="65" t="s">
        <v>171</v>
      </c>
      <c r="S43" s="72" t="s">
        <v>177</v>
      </c>
      <c r="T43" s="65" t="s">
        <v>181</v>
      </c>
    </row>
    <row r="44" spans="1:22" ht="16" x14ac:dyDescent="0.2">
      <c r="A44" t="s">
        <v>358</v>
      </c>
      <c r="B44" s="145" t="s">
        <v>242</v>
      </c>
      <c r="C44" s="223">
        <f>C25</f>
        <v>0.26629438006872852</v>
      </c>
      <c r="D44" s="223">
        <f t="shared" ref="D44:J44" si="13">D25</f>
        <v>6.5091508196721312E-2</v>
      </c>
      <c r="E44" s="223">
        <f t="shared" si="13"/>
        <v>0.12056888000000002</v>
      </c>
      <c r="F44" s="223">
        <f t="shared" si="13"/>
        <v>1.1592048652995578E-3</v>
      </c>
      <c r="G44" s="223">
        <f t="shared" si="13"/>
        <v>0.61125012542955315</v>
      </c>
      <c r="H44" s="223">
        <f t="shared" si="13"/>
        <v>0.21200753353204171</v>
      </c>
      <c r="I44" s="223">
        <f t="shared" si="13"/>
        <v>0.39510134639999994</v>
      </c>
      <c r="J44" s="223">
        <f t="shared" si="13"/>
        <v>0.10196696743063932</v>
      </c>
      <c r="K44" s="219"/>
      <c r="L44" s="220" t="s">
        <v>242</v>
      </c>
      <c r="M44" s="223">
        <f>M25</f>
        <v>8.3035614354066964E-2</v>
      </c>
      <c r="N44" s="223">
        <f t="shared" ref="N44:T44" si="14">N25</f>
        <v>1.2905659574468088E-2</v>
      </c>
      <c r="O44" s="223">
        <f t="shared" si="14"/>
        <v>2.2489154000000015E-2</v>
      </c>
      <c r="P44" s="223">
        <f t="shared" si="14"/>
        <v>1.3753898635477535E-4</v>
      </c>
      <c r="Q44" s="223">
        <f t="shared" si="14"/>
        <v>0.9306960861244018</v>
      </c>
      <c r="R44" s="223">
        <f t="shared" si="14"/>
        <v>0.45498338297872343</v>
      </c>
      <c r="S44" s="223">
        <f t="shared" si="14"/>
        <v>0.86036288679999984</v>
      </c>
      <c r="T44" s="223">
        <f t="shared" si="14"/>
        <v>0.25311154970760236</v>
      </c>
    </row>
    <row r="45" spans="1:22" ht="16" x14ac:dyDescent="0.2">
      <c r="B45" s="121" t="s">
        <v>243</v>
      </c>
      <c r="C45" s="223">
        <f>C$25*C38</f>
        <v>0.13033724059802435</v>
      </c>
      <c r="D45" s="223">
        <f t="shared" ref="D45:J45" si="15">D$25*D38</f>
        <v>7.6351772258744927E-2</v>
      </c>
      <c r="E45" s="223">
        <f t="shared" si="15"/>
        <v>0.21572013615783769</v>
      </c>
      <c r="F45" s="223">
        <f t="shared" si="15"/>
        <v>1.2586322718528966E-2</v>
      </c>
      <c r="G45" s="223">
        <f t="shared" si="15"/>
        <v>0.48039045896670096</v>
      </c>
      <c r="H45" s="223">
        <f t="shared" si="15"/>
        <v>0.21200753353204171</v>
      </c>
      <c r="I45" s="223">
        <f t="shared" si="15"/>
        <v>0.39510134640000005</v>
      </c>
      <c r="J45" s="223">
        <f t="shared" si="15"/>
        <v>7.8715014991710922E-2</v>
      </c>
      <c r="K45" s="219"/>
      <c r="L45" s="221" t="s">
        <v>243</v>
      </c>
      <c r="M45" s="223">
        <f>M$25*M32</f>
        <v>3.9348954066985652E-2</v>
      </c>
      <c r="N45" s="223">
        <f t="shared" ref="N45:T45" si="16">N$25*N32</f>
        <v>1.5204356382978694E-2</v>
      </c>
      <c r="O45" s="223">
        <f t="shared" si="16"/>
        <v>4.3823507700000049E-2</v>
      </c>
      <c r="P45" s="223">
        <f t="shared" si="16"/>
        <v>1.5331615497076036E-3</v>
      </c>
      <c r="Q45" s="223">
        <f t="shared" si="16"/>
        <v>0.7758467275119616</v>
      </c>
      <c r="R45" s="223">
        <f t="shared" si="16"/>
        <v>0.45498338297872337</v>
      </c>
      <c r="S45" s="223">
        <f t="shared" si="16"/>
        <v>0.86036288680000006</v>
      </c>
      <c r="T45" s="223">
        <f t="shared" si="16"/>
        <v>0.19591044956140347</v>
      </c>
    </row>
    <row r="46" spans="1:22" ht="16" x14ac:dyDescent="0.2">
      <c r="B46" s="121" t="s">
        <v>244</v>
      </c>
      <c r="C46" s="223">
        <f t="shared" ref="C46:J46" si="17">C$25*C39</f>
        <v>9.259690777790501E-2</v>
      </c>
      <c r="D46" s="223">
        <f t="shared" si="17"/>
        <v>9.234492257453554E-2</v>
      </c>
      <c r="E46" s="223">
        <f t="shared" si="17"/>
        <v>0.3068023759272358</v>
      </c>
      <c r="F46" s="223">
        <f t="shared" si="17"/>
        <v>2.9814905999732827E-2</v>
      </c>
      <c r="G46" s="223">
        <f t="shared" si="17"/>
        <v>0.30910760564649825</v>
      </c>
      <c r="H46" s="223">
        <f t="shared" si="17"/>
        <v>0.21200753353204171</v>
      </c>
      <c r="I46" s="223">
        <f t="shared" si="17"/>
        <v>0.39510134640000005</v>
      </c>
      <c r="J46" s="223">
        <f t="shared" si="17"/>
        <v>2.7802177234302373E-2</v>
      </c>
      <c r="K46" s="219"/>
      <c r="L46" s="221" t="s">
        <v>244</v>
      </c>
      <c r="M46" s="223">
        <f t="shared" ref="M46:T47" si="18">M$25*M33</f>
        <v>2.7719267942583732E-2</v>
      </c>
      <c r="N46" s="223">
        <f t="shared" si="18"/>
        <v>1.851023404255318E-2</v>
      </c>
      <c r="O46" s="223">
        <f t="shared" si="18"/>
        <v>6.6099553450000056E-2</v>
      </c>
      <c r="P46" s="223">
        <f t="shared" si="18"/>
        <v>3.7394312865497051E-3</v>
      </c>
      <c r="Q46" s="223">
        <f t="shared" si="18"/>
        <v>0.52562163086124392</v>
      </c>
      <c r="R46" s="223">
        <f t="shared" si="18"/>
        <v>0.45498338297872337</v>
      </c>
      <c r="S46" s="223">
        <f t="shared" si="18"/>
        <v>0.86036288680000006</v>
      </c>
      <c r="T46" s="223">
        <f t="shared" si="18"/>
        <v>6.9845782163742695E-2</v>
      </c>
    </row>
    <row r="47" spans="1:22" ht="16" x14ac:dyDescent="0.2">
      <c r="B47" s="122" t="s">
        <v>230</v>
      </c>
      <c r="C47" s="223">
        <f t="shared" ref="C47:J47" si="19">C$25*C40</f>
        <v>9.259690777790501E-2</v>
      </c>
      <c r="D47" s="223">
        <f t="shared" si="19"/>
        <v>9.234492257453554E-2</v>
      </c>
      <c r="E47" s="223">
        <f t="shared" si="19"/>
        <v>0.36698036261378975</v>
      </c>
      <c r="F47" s="223">
        <f t="shared" si="19"/>
        <v>3.551648577555281E-2</v>
      </c>
      <c r="G47" s="223">
        <f t="shared" si="19"/>
        <v>0.27613009106835495</v>
      </c>
      <c r="H47" s="223">
        <f t="shared" si="19"/>
        <v>0.21200753353204171</v>
      </c>
      <c r="I47" s="223">
        <f t="shared" si="19"/>
        <v>0.39510134639999994</v>
      </c>
      <c r="J47" s="223">
        <f t="shared" si="19"/>
        <v>1.4283346723930074E-2</v>
      </c>
      <c r="K47" s="219"/>
      <c r="L47" s="222" t="s">
        <v>230</v>
      </c>
      <c r="M47" s="223">
        <f t="shared" si="18"/>
        <v>2.7719267942583743E-2</v>
      </c>
      <c r="N47" s="223">
        <f t="shared" si="18"/>
        <v>1.851023404255318E-2</v>
      </c>
      <c r="O47" s="223">
        <f t="shared" si="18"/>
        <v>8.1587024333333438E-2</v>
      </c>
      <c r="P47" s="223">
        <f t="shared" si="18"/>
        <v>4.4974035087719244E-3</v>
      </c>
      <c r="Q47" s="223">
        <f t="shared" si="18"/>
        <v>0.47406109090909082</v>
      </c>
      <c r="R47" s="223">
        <f t="shared" si="18"/>
        <v>0.45498338297872343</v>
      </c>
      <c r="S47" s="223">
        <f t="shared" si="18"/>
        <v>0.86036288679999984</v>
      </c>
      <c r="T47" s="223">
        <f t="shared" si="18"/>
        <v>3.599701754385963E-2</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156"/>
  <sheetViews>
    <sheetView zoomScaleNormal="100" workbookViewId="0">
      <pane xSplit="1" ySplit="8" topLeftCell="AA61" activePane="bottomRight" state="frozen"/>
      <selection pane="topRight" activeCell="B1" sqref="B1"/>
      <selection pane="bottomLeft" activeCell="A9" sqref="A9"/>
      <selection pane="bottomRight" activeCell="AJ71" sqref="AJ71:AJ75"/>
    </sheetView>
  </sheetViews>
  <sheetFormatPr baseColWidth="10" defaultColWidth="14.5" defaultRowHeight="15.75" customHeight="1" x14ac:dyDescent="0.2"/>
  <cols>
    <col min="1" max="6" width="14.5" style="148"/>
    <col min="7" max="7" width="24.1640625" style="148" customWidth="1"/>
    <col min="8" max="34" width="14.5" style="148"/>
    <col min="39" max="16384" width="14.5" style="148"/>
  </cols>
  <sheetData>
    <row r="1" spans="1:43" ht="15" x14ac:dyDescent="0.2">
      <c r="B1" s="169"/>
      <c r="C1" s="247" t="s">
        <v>246</v>
      </c>
      <c r="D1" s="233"/>
      <c r="E1" s="233"/>
      <c r="F1" s="248" t="s">
        <v>247</v>
      </c>
      <c r="G1" s="233"/>
      <c r="H1" s="175" t="s">
        <v>248</v>
      </c>
      <c r="I1" s="174"/>
      <c r="J1" s="173" t="s">
        <v>249</v>
      </c>
      <c r="K1" s="173"/>
      <c r="L1" s="173"/>
      <c r="M1" s="173"/>
      <c r="N1" s="173"/>
      <c r="O1" s="173"/>
      <c r="P1" s="173"/>
      <c r="Q1" s="173"/>
      <c r="R1" s="173"/>
      <c r="S1" s="173"/>
      <c r="T1" s="249" t="s">
        <v>250</v>
      </c>
      <c r="U1" s="233"/>
      <c r="V1" s="233"/>
      <c r="W1" s="233"/>
      <c r="X1" s="233"/>
      <c r="Y1" s="250" t="s">
        <v>251</v>
      </c>
      <c r="Z1" s="233"/>
      <c r="AA1" s="233"/>
      <c r="AB1" s="233"/>
      <c r="AC1" s="251" t="s">
        <v>252</v>
      </c>
      <c r="AD1" s="233"/>
      <c r="AE1" s="233"/>
      <c r="AF1" s="233"/>
      <c r="AG1" s="245" t="s">
        <v>253</v>
      </c>
      <c r="AH1" s="233"/>
      <c r="AI1" s="243" t="s">
        <v>345</v>
      </c>
      <c r="AJ1" s="238"/>
      <c r="AK1" s="238"/>
      <c r="AL1" s="238"/>
      <c r="AM1" s="258" t="s">
        <v>344</v>
      </c>
      <c r="AN1" s="258"/>
      <c r="AO1" s="258"/>
      <c r="AP1" s="259" t="s">
        <v>343</v>
      </c>
      <c r="AQ1" s="259"/>
    </row>
    <row r="2" spans="1:43" ht="15" x14ac:dyDescent="0.2">
      <c r="A2" s="149" t="s">
        <v>254</v>
      </c>
      <c r="C2" s="233" t="s">
        <v>255</v>
      </c>
      <c r="D2" s="233"/>
      <c r="E2" s="233"/>
      <c r="F2" s="240" t="s">
        <v>256</v>
      </c>
      <c r="G2" s="233"/>
      <c r="H2" s="240" t="s">
        <v>257</v>
      </c>
      <c r="I2" s="233"/>
      <c r="J2" s="240" t="s">
        <v>258</v>
      </c>
      <c r="K2" s="233"/>
      <c r="L2" s="233"/>
      <c r="M2" s="233"/>
      <c r="N2" s="233"/>
      <c r="O2" s="233"/>
      <c r="P2" s="233"/>
      <c r="Q2" s="233"/>
      <c r="R2" s="233"/>
      <c r="S2" s="233"/>
      <c r="T2" s="240" t="s">
        <v>259</v>
      </c>
      <c r="U2" s="233"/>
      <c r="V2" s="233"/>
      <c r="W2" s="233"/>
      <c r="X2" s="233"/>
      <c r="Y2" s="240" t="s">
        <v>260</v>
      </c>
      <c r="Z2" s="233"/>
      <c r="AA2" s="233"/>
      <c r="AB2" s="233"/>
      <c r="AC2" s="240" t="s">
        <v>261</v>
      </c>
      <c r="AD2" s="233"/>
      <c r="AE2" s="233"/>
      <c r="AF2" s="233"/>
      <c r="AG2" s="240" t="s">
        <v>262</v>
      </c>
      <c r="AH2" s="233"/>
      <c r="AI2" s="244" t="s">
        <v>341</v>
      </c>
      <c r="AJ2" s="238"/>
      <c r="AK2" s="238"/>
      <c r="AL2" s="238"/>
      <c r="AM2" s="148" t="s">
        <v>340</v>
      </c>
      <c r="AP2" s="148" t="s">
        <v>339</v>
      </c>
    </row>
    <row r="3" spans="1:43" ht="15" x14ac:dyDescent="0.2">
      <c r="A3" s="149" t="s">
        <v>263</v>
      </c>
      <c r="B3" s="169"/>
      <c r="C3" s="246" t="s">
        <v>264</v>
      </c>
      <c r="D3" s="233"/>
      <c r="E3" s="233"/>
      <c r="F3" s="246" t="s">
        <v>264</v>
      </c>
      <c r="G3" s="233"/>
      <c r="H3" s="232" t="s">
        <v>265</v>
      </c>
      <c r="I3" s="233"/>
      <c r="J3" s="232" t="s">
        <v>264</v>
      </c>
      <c r="K3" s="233"/>
      <c r="L3" s="233"/>
      <c r="M3" s="233"/>
      <c r="N3" s="233"/>
      <c r="O3" s="233"/>
      <c r="P3" s="233"/>
      <c r="Q3" s="233"/>
      <c r="R3" s="233"/>
      <c r="S3" s="233"/>
      <c r="T3" s="232" t="s">
        <v>266</v>
      </c>
      <c r="U3" s="233"/>
      <c r="V3" s="233"/>
      <c r="W3" s="233"/>
      <c r="X3" s="233"/>
      <c r="Y3" s="232" t="s">
        <v>267</v>
      </c>
      <c r="Z3" s="233"/>
      <c r="AA3" s="232" t="s">
        <v>268</v>
      </c>
      <c r="AB3" s="233"/>
      <c r="AC3" s="232" t="s">
        <v>267</v>
      </c>
      <c r="AD3" s="233"/>
      <c r="AE3" s="232" t="s">
        <v>269</v>
      </c>
      <c r="AF3" s="233"/>
      <c r="AG3" s="232" t="s">
        <v>270</v>
      </c>
      <c r="AH3" s="233"/>
      <c r="AI3" s="237" t="s">
        <v>268</v>
      </c>
      <c r="AJ3" s="238"/>
      <c r="AK3" s="237" t="s">
        <v>350</v>
      </c>
      <c r="AL3" s="238"/>
      <c r="AM3" s="148" t="s">
        <v>328</v>
      </c>
      <c r="AP3" s="148" t="s">
        <v>327</v>
      </c>
    </row>
    <row r="4" spans="1:43" ht="15" x14ac:dyDescent="0.2">
      <c r="A4" s="188" t="s">
        <v>338</v>
      </c>
      <c r="B4" s="169"/>
      <c r="C4" s="190" t="s">
        <v>337</v>
      </c>
      <c r="F4" s="239">
        <v>181</v>
      </c>
      <c r="G4" s="239"/>
      <c r="H4" s="240" t="s">
        <v>335</v>
      </c>
      <c r="I4" s="232"/>
      <c r="J4" s="188" t="s">
        <v>334</v>
      </c>
      <c r="T4" s="188" t="s">
        <v>333</v>
      </c>
      <c r="Y4" s="188" t="s">
        <v>332</v>
      </c>
      <c r="AA4" s="149"/>
      <c r="AC4" s="188" t="s">
        <v>331</v>
      </c>
      <c r="AE4" s="149"/>
      <c r="AG4" s="188" t="s">
        <v>330</v>
      </c>
      <c r="AI4" s="189" t="s">
        <v>329</v>
      </c>
      <c r="AK4" s="187"/>
      <c r="AM4" s="148" t="s">
        <v>325</v>
      </c>
      <c r="AP4" s="148" t="s">
        <v>324</v>
      </c>
    </row>
    <row r="5" spans="1:43" ht="15" x14ac:dyDescent="0.2">
      <c r="A5" s="149" t="s">
        <v>271</v>
      </c>
      <c r="B5" s="169"/>
      <c r="C5" s="246" t="s">
        <v>272</v>
      </c>
      <c r="D5" s="233"/>
      <c r="E5" s="233"/>
      <c r="F5" s="232" t="s">
        <v>273</v>
      </c>
      <c r="G5" s="233"/>
      <c r="H5" s="232" t="s">
        <v>274</v>
      </c>
      <c r="I5" s="233"/>
      <c r="J5" s="232" t="s">
        <v>57</v>
      </c>
      <c r="K5" s="233"/>
      <c r="L5" s="232" t="s">
        <v>31</v>
      </c>
      <c r="M5" s="233"/>
      <c r="N5" s="241" t="s">
        <v>323</v>
      </c>
      <c r="O5" s="241"/>
      <c r="P5" s="232" t="s">
        <v>57</v>
      </c>
      <c r="Q5" s="233"/>
      <c r="R5" s="232" t="s">
        <v>31</v>
      </c>
      <c r="S5" s="233"/>
      <c r="T5" s="232" t="s">
        <v>275</v>
      </c>
      <c r="U5" s="233"/>
      <c r="V5" s="233"/>
      <c r="W5" s="233"/>
      <c r="X5" s="233"/>
      <c r="Y5" s="232" t="s">
        <v>276</v>
      </c>
      <c r="Z5" s="233"/>
      <c r="AA5" s="233"/>
      <c r="AB5" s="233"/>
      <c r="AC5" s="232" t="s">
        <v>277</v>
      </c>
      <c r="AD5" s="233"/>
      <c r="AE5" s="233"/>
      <c r="AF5" s="233"/>
      <c r="AG5" s="232" t="s">
        <v>277</v>
      </c>
      <c r="AH5" s="233"/>
      <c r="AI5" s="237" t="s">
        <v>322</v>
      </c>
      <c r="AJ5" s="238"/>
      <c r="AK5" s="238"/>
      <c r="AL5" s="238"/>
      <c r="AM5" s="148" t="s">
        <v>322</v>
      </c>
      <c r="AP5" s="148" t="s">
        <v>321</v>
      </c>
      <c r="AQ5" s="148" t="s">
        <v>320</v>
      </c>
    </row>
    <row r="6" spans="1:43" ht="15" x14ac:dyDescent="0.2">
      <c r="A6" s="149" t="s">
        <v>278</v>
      </c>
      <c r="C6" s="232" t="s">
        <v>279</v>
      </c>
      <c r="D6" s="233"/>
      <c r="E6" s="233"/>
      <c r="F6" s="255" t="s">
        <v>349</v>
      </c>
      <c r="G6" s="233"/>
      <c r="H6" s="232" t="s">
        <v>281</v>
      </c>
      <c r="I6" s="233"/>
      <c r="J6" s="232" t="s">
        <v>282</v>
      </c>
      <c r="K6" s="232"/>
      <c r="L6" s="232"/>
      <c r="M6" s="232"/>
      <c r="N6" s="232"/>
      <c r="O6" s="232"/>
      <c r="P6" s="232" t="s">
        <v>283</v>
      </c>
      <c r="Q6" s="233"/>
      <c r="R6" s="233"/>
      <c r="S6" s="233"/>
      <c r="T6" s="232" t="s">
        <v>284</v>
      </c>
      <c r="U6" s="233"/>
      <c r="V6" s="232" t="s">
        <v>285</v>
      </c>
      <c r="W6" s="233"/>
      <c r="X6" s="233"/>
      <c r="Y6" s="232" t="s">
        <v>348</v>
      </c>
      <c r="Z6" s="233"/>
      <c r="AA6" s="233"/>
      <c r="AB6" s="233"/>
      <c r="AC6" s="232" t="s">
        <v>287</v>
      </c>
      <c r="AD6" s="233"/>
      <c r="AE6" s="233"/>
      <c r="AF6" s="233"/>
      <c r="AG6" s="232" t="s">
        <v>288</v>
      </c>
      <c r="AH6" s="233"/>
      <c r="AI6" s="237" t="s">
        <v>318</v>
      </c>
      <c r="AJ6" s="238"/>
      <c r="AK6" s="238"/>
      <c r="AL6" s="238"/>
      <c r="AM6" s="148" t="s">
        <v>317</v>
      </c>
      <c r="AP6" s="182" t="s">
        <v>316</v>
      </c>
    </row>
    <row r="7" spans="1:43" ht="42" x14ac:dyDescent="0.15">
      <c r="B7" s="169" t="s">
        <v>289</v>
      </c>
      <c r="C7" s="169" t="s">
        <v>290</v>
      </c>
      <c r="D7" s="169" t="s">
        <v>291</v>
      </c>
      <c r="E7" s="169" t="s">
        <v>292</v>
      </c>
      <c r="F7" s="169" t="s">
        <v>291</v>
      </c>
      <c r="G7" s="169" t="s">
        <v>293</v>
      </c>
      <c r="H7" s="169" t="s">
        <v>291</v>
      </c>
      <c r="I7" s="169" t="s">
        <v>292</v>
      </c>
      <c r="J7" s="169" t="s">
        <v>294</v>
      </c>
      <c r="K7" s="169" t="s">
        <v>295</v>
      </c>
      <c r="L7" s="169" t="s">
        <v>296</v>
      </c>
      <c r="M7" s="169" t="s">
        <v>297</v>
      </c>
      <c r="N7" s="169" t="s">
        <v>296</v>
      </c>
      <c r="O7" s="169" t="s">
        <v>297</v>
      </c>
      <c r="P7" s="169" t="s">
        <v>294</v>
      </c>
      <c r="Q7" s="169" t="s">
        <v>295</v>
      </c>
      <c r="R7" s="169" t="s">
        <v>296</v>
      </c>
      <c r="S7" s="169" t="s">
        <v>297</v>
      </c>
      <c r="T7" s="169" t="s">
        <v>290</v>
      </c>
      <c r="U7" s="169" t="s">
        <v>291</v>
      </c>
      <c r="V7" s="169" t="s">
        <v>290</v>
      </c>
      <c r="W7" s="169" t="s">
        <v>291</v>
      </c>
      <c r="X7" s="169" t="s">
        <v>293</v>
      </c>
      <c r="Y7" s="169" t="s">
        <v>291</v>
      </c>
      <c r="Z7" s="168" t="s">
        <v>293</v>
      </c>
      <c r="AA7" s="169" t="s">
        <v>291</v>
      </c>
      <c r="AB7" s="168" t="s">
        <v>293</v>
      </c>
      <c r="AC7" s="169" t="s">
        <v>291</v>
      </c>
      <c r="AD7" s="168" t="s">
        <v>293</v>
      </c>
      <c r="AE7" s="169" t="s">
        <v>291</v>
      </c>
      <c r="AF7" s="168" t="s">
        <v>293</v>
      </c>
      <c r="AG7" s="168" t="s">
        <v>291</v>
      </c>
      <c r="AH7" s="168" t="s">
        <v>293</v>
      </c>
      <c r="AI7" s="203" t="s">
        <v>290</v>
      </c>
      <c r="AJ7" s="203" t="s">
        <v>347</v>
      </c>
      <c r="AK7" s="203" t="s">
        <v>290</v>
      </c>
      <c r="AL7" s="203" t="s">
        <v>347</v>
      </c>
      <c r="AM7" s="203" t="s">
        <v>290</v>
      </c>
      <c r="AN7" s="203" t="s">
        <v>347</v>
      </c>
      <c r="AO7" s="168" t="s">
        <v>293</v>
      </c>
      <c r="AP7" s="168" t="s">
        <v>293</v>
      </c>
      <c r="AQ7" s="168" t="s">
        <v>293</v>
      </c>
    </row>
    <row r="8" spans="1:43" s="186" customFormat="1" ht="13" x14ac:dyDescent="0.15">
      <c r="A8" s="195" t="s">
        <v>298</v>
      </c>
      <c r="B8" s="195"/>
      <c r="C8" s="196"/>
      <c r="D8" s="195"/>
      <c r="E8" s="195"/>
      <c r="F8" s="195"/>
      <c r="G8" s="195"/>
      <c r="H8" s="195"/>
      <c r="I8" s="195"/>
      <c r="J8" s="195"/>
      <c r="K8" s="195"/>
      <c r="L8" s="195"/>
      <c r="M8" s="195"/>
      <c r="N8" s="195"/>
      <c r="O8" s="195"/>
      <c r="P8" s="195"/>
      <c r="Q8" s="195"/>
      <c r="R8" s="195"/>
      <c r="S8" s="195"/>
      <c r="T8" s="195"/>
      <c r="U8" s="195"/>
      <c r="V8" s="195"/>
      <c r="W8" s="195"/>
      <c r="X8" s="195"/>
      <c r="Y8" s="195"/>
      <c r="Z8" s="195"/>
      <c r="AA8" s="195"/>
      <c r="AB8" s="195"/>
      <c r="AC8" s="195"/>
      <c r="AD8" s="195"/>
      <c r="AE8" s="195"/>
      <c r="AF8" s="195"/>
      <c r="AG8" s="195"/>
      <c r="AH8" s="195"/>
      <c r="AI8" s="194"/>
      <c r="AJ8" s="194"/>
      <c r="AK8" s="194"/>
      <c r="AL8" s="194"/>
      <c r="AM8" s="194"/>
      <c r="AN8" s="194"/>
      <c r="AO8" s="194"/>
    </row>
    <row r="9" spans="1:43" ht="15" x14ac:dyDescent="0.2">
      <c r="A9" s="157" t="s">
        <v>299</v>
      </c>
      <c r="B9" s="149">
        <v>16</v>
      </c>
      <c r="C9" s="163">
        <v>2</v>
      </c>
      <c r="D9" s="162">
        <f t="shared" ref="D9:D26" si="0">C9/(SUM(C$9:C$26))</f>
        <v>9.8522167487684748E-2</v>
      </c>
      <c r="E9" s="165">
        <f>D9</f>
        <v>9.8522167487684748E-2</v>
      </c>
      <c r="F9" s="167"/>
      <c r="H9" s="149">
        <v>12.6</v>
      </c>
      <c r="I9" s="165">
        <f>H9/100</f>
        <v>0.126</v>
      </c>
      <c r="T9" s="149">
        <v>2.1</v>
      </c>
      <c r="V9" s="149">
        <v>0.9</v>
      </c>
      <c r="W9" s="164">
        <f>V9/SUM(V9:V26)</f>
        <v>0.10843373493975905</v>
      </c>
      <c r="X9" s="164">
        <f>W9</f>
        <v>0.10843373493975905</v>
      </c>
      <c r="Y9" s="149">
        <v>13.1</v>
      </c>
      <c r="Z9" s="149">
        <f>Y9/100</f>
        <v>0.13100000000000001</v>
      </c>
      <c r="AA9" s="149">
        <v>20.399999999999999</v>
      </c>
      <c r="AB9" s="149">
        <f>AA9/100</f>
        <v>0.20399999999999999</v>
      </c>
      <c r="AM9" s="148">
        <v>10.97</v>
      </c>
      <c r="AN9" s="200">
        <f>AM9/SUM(AM9:AM26)</f>
        <v>0.10812142716341418</v>
      </c>
      <c r="AO9" s="200">
        <f>AN9</f>
        <v>0.10812142716341418</v>
      </c>
    </row>
    <row r="10" spans="1:43" ht="15" x14ac:dyDescent="0.2">
      <c r="A10" s="148" t="s">
        <v>300</v>
      </c>
      <c r="B10" s="149">
        <v>18</v>
      </c>
      <c r="C10" s="163">
        <v>1.2</v>
      </c>
      <c r="D10" s="162">
        <f t="shared" si="0"/>
        <v>5.9113300492610842E-2</v>
      </c>
      <c r="E10" s="165">
        <f>D10</f>
        <v>5.9113300492610842E-2</v>
      </c>
      <c r="H10" s="149">
        <v>9.9</v>
      </c>
      <c r="I10" s="165">
        <f>H10/100</f>
        <v>9.9000000000000005E-2</v>
      </c>
      <c r="T10" s="149">
        <v>1.2</v>
      </c>
      <c r="V10" s="149">
        <v>0.4</v>
      </c>
      <c r="W10" s="164">
        <f>V10/SUM(V9:V26)</f>
        <v>4.8192771084337359E-2</v>
      </c>
      <c r="X10" s="164">
        <f>W10</f>
        <v>4.8192771084337359E-2</v>
      </c>
      <c r="Y10" s="149">
        <v>8.3000000000000007</v>
      </c>
      <c r="Z10" s="149">
        <f>Y10/100</f>
        <v>8.3000000000000004E-2</v>
      </c>
      <c r="AA10" s="149">
        <v>8.4</v>
      </c>
      <c r="AB10" s="149">
        <f>AA10/100</f>
        <v>8.4000000000000005E-2</v>
      </c>
      <c r="AM10" s="148">
        <v>5.78</v>
      </c>
      <c r="AN10" s="200">
        <f>AM10/SUM(AM9:AM26)</f>
        <v>5.6968263355016771E-2</v>
      </c>
      <c r="AO10" s="200">
        <f>AN10</f>
        <v>5.6968263355016771E-2</v>
      </c>
    </row>
    <row r="11" spans="1:43" ht="15" x14ac:dyDescent="0.2">
      <c r="A11" s="254" t="s">
        <v>301</v>
      </c>
      <c r="B11" s="149">
        <v>31</v>
      </c>
      <c r="C11" s="149">
        <v>0.9</v>
      </c>
      <c r="D11" s="162">
        <f t="shared" si="0"/>
        <v>4.4334975369458136E-2</v>
      </c>
      <c r="E11" s="253">
        <f>SUM(D11:D15)</f>
        <v>0.30541871921182273</v>
      </c>
      <c r="H11" s="149">
        <v>7.3</v>
      </c>
      <c r="I11" s="253">
        <f>(SUM(H11:H15)/SUM(H11:H26))* (1 - SUM(I9:I10))</f>
        <v>0.38227528089887641</v>
      </c>
      <c r="T11" s="149">
        <v>0.9</v>
      </c>
      <c r="V11" s="149">
        <v>0.6</v>
      </c>
      <c r="W11" s="164">
        <f>V11/SUM(V9:V26)</f>
        <v>7.2289156626506035E-2</v>
      </c>
      <c r="X11" s="234">
        <f>SUM(W11:W15)</f>
        <v>0.37349397590361455</v>
      </c>
      <c r="Y11" s="149">
        <v>6.5</v>
      </c>
      <c r="Z11" s="232">
        <f>SUM(Y11:Y15)/100</f>
        <v>0.36799999999999999</v>
      </c>
      <c r="AA11" s="149">
        <v>8</v>
      </c>
      <c r="AB11" s="232">
        <f>SUM(AA11:AA15)/100</f>
        <v>0.318</v>
      </c>
      <c r="AM11" s="148">
        <v>4.29</v>
      </c>
      <c r="AN11" s="200">
        <f t="shared" ref="AN11:AN26" si="1">AM11/SUM(AM$9:AM$26)</f>
        <v>4.2282672974571271E-2</v>
      </c>
      <c r="AO11" s="257">
        <f>SUM(AN11:AN15)</f>
        <v>0.30829883698009075</v>
      </c>
    </row>
    <row r="12" spans="1:43" ht="15" x14ac:dyDescent="0.2">
      <c r="A12" s="254"/>
      <c r="B12" s="149">
        <v>33</v>
      </c>
      <c r="C12" s="149">
        <v>0.9</v>
      </c>
      <c r="D12" s="162">
        <f t="shared" si="0"/>
        <v>4.4334975369458136E-2</v>
      </c>
      <c r="E12" s="233"/>
      <c r="H12" s="149">
        <v>6.6</v>
      </c>
      <c r="I12" s="233"/>
      <c r="T12" s="149">
        <v>0.7</v>
      </c>
      <c r="V12" s="149">
        <v>0.4</v>
      </c>
      <c r="W12" s="164">
        <f>V12/SUM(V9:V26)</f>
        <v>4.8192771084337359E-2</v>
      </c>
      <c r="X12" s="233"/>
      <c r="Y12" s="149">
        <v>5.0999999999999996</v>
      </c>
      <c r="Z12" s="233"/>
      <c r="AA12" s="149">
        <v>4.7</v>
      </c>
      <c r="AB12" s="233"/>
      <c r="AM12" s="148">
        <v>6.03</v>
      </c>
      <c r="AN12" s="200">
        <f t="shared" si="1"/>
        <v>5.9432288586635143E-2</v>
      </c>
      <c r="AO12" s="254"/>
    </row>
    <row r="13" spans="1:43" ht="15" x14ac:dyDescent="0.2">
      <c r="A13" s="254"/>
      <c r="B13" s="149">
        <v>45</v>
      </c>
      <c r="C13" s="149">
        <v>1.5</v>
      </c>
      <c r="D13" s="162">
        <f t="shared" si="0"/>
        <v>7.3891625615763554E-2</v>
      </c>
      <c r="E13" s="233"/>
      <c r="H13" s="149">
        <v>6.1</v>
      </c>
      <c r="I13" s="233"/>
      <c r="T13" s="149">
        <v>0.7</v>
      </c>
      <c r="V13" s="149">
        <v>0.3</v>
      </c>
      <c r="W13" s="164">
        <f>V13/SUM(V9:V26)</f>
        <v>3.6144578313253017E-2</v>
      </c>
      <c r="X13" s="233"/>
      <c r="Y13" s="149">
        <v>5.9</v>
      </c>
      <c r="Z13" s="233"/>
      <c r="AA13" s="149">
        <v>4.8</v>
      </c>
      <c r="AB13" s="233"/>
      <c r="AM13" s="148">
        <v>7.46</v>
      </c>
      <c r="AN13" s="200">
        <f t="shared" si="1"/>
        <v>7.3526512911492231E-2</v>
      </c>
      <c r="AO13" s="254"/>
    </row>
    <row r="14" spans="1:43" ht="15" x14ac:dyDescent="0.2">
      <c r="A14" s="254"/>
      <c r="B14" s="149">
        <v>52</v>
      </c>
      <c r="C14" s="149">
        <v>1.3</v>
      </c>
      <c r="D14" s="162">
        <f t="shared" si="0"/>
        <v>6.4039408866995079E-2</v>
      </c>
      <c r="E14" s="233"/>
      <c r="H14" s="149">
        <v>12.9</v>
      </c>
      <c r="I14" s="233"/>
      <c r="T14" s="149">
        <v>3.2</v>
      </c>
      <c r="V14" s="149">
        <v>1.5</v>
      </c>
      <c r="W14" s="164">
        <f>V14/SUM(V9:V26)</f>
        <v>0.18072289156626509</v>
      </c>
      <c r="X14" s="233"/>
      <c r="Y14" s="149">
        <v>8.6</v>
      </c>
      <c r="Z14" s="233"/>
      <c r="AA14" s="149">
        <v>8</v>
      </c>
      <c r="AB14" s="233"/>
      <c r="AM14" s="148">
        <v>5.64</v>
      </c>
      <c r="AN14" s="200">
        <f t="shared" si="1"/>
        <v>5.5588409225310477E-2</v>
      </c>
      <c r="AO14" s="254"/>
    </row>
    <row r="15" spans="1:43" ht="15" x14ac:dyDescent="0.2">
      <c r="A15" s="254"/>
      <c r="B15" s="149">
        <v>58</v>
      </c>
      <c r="C15" s="163">
        <v>1.6</v>
      </c>
      <c r="D15" s="162">
        <f t="shared" si="0"/>
        <v>7.8817733990147798E-2</v>
      </c>
      <c r="E15" s="233"/>
      <c r="H15" s="149">
        <v>11</v>
      </c>
      <c r="I15" s="233"/>
      <c r="T15" s="149">
        <v>0.6</v>
      </c>
      <c r="V15" s="149">
        <v>0.3</v>
      </c>
      <c r="W15" s="164">
        <f>V15/SUM(V9:V26)</f>
        <v>3.6144578313253017E-2</v>
      </c>
      <c r="X15" s="233"/>
      <c r="Y15" s="149">
        <v>10.7</v>
      </c>
      <c r="Z15" s="233"/>
      <c r="AA15" s="149">
        <v>6.3</v>
      </c>
      <c r="AB15" s="233"/>
      <c r="AM15" s="148">
        <v>7.86</v>
      </c>
      <c r="AN15" s="200">
        <f t="shared" si="1"/>
        <v>7.7468953282081629E-2</v>
      </c>
      <c r="AO15" s="254"/>
    </row>
    <row r="16" spans="1:43" ht="15" x14ac:dyDescent="0.2">
      <c r="A16" s="252" t="s">
        <v>302</v>
      </c>
      <c r="B16" s="149">
        <v>26</v>
      </c>
      <c r="C16" s="149">
        <v>0.2</v>
      </c>
      <c r="D16" s="162">
        <f t="shared" si="0"/>
        <v>9.8522167487684748E-3</v>
      </c>
      <c r="E16" s="253">
        <f>SUM(D16:D26)</f>
        <v>0.53694581280788167</v>
      </c>
      <c r="I16" s="253">
        <f>(SUM(H16:H26)/SUM(H11:H26))* (1 - SUM(I9:I10))</f>
        <v>0.39272471910112366</v>
      </c>
      <c r="W16" s="164"/>
      <c r="X16" s="234">
        <f>SUM(V16:V26)/SUM(V9:V26)</f>
        <v>0.46987951807228928</v>
      </c>
      <c r="Z16" s="232">
        <f>1-SUM(Z9:Z15)</f>
        <v>0.41799999999999993</v>
      </c>
      <c r="AB16" s="232">
        <f>1-SUM(AB9:AB15)</f>
        <v>0.39400000000000002</v>
      </c>
      <c r="AM16" s="148">
        <v>1.9</v>
      </c>
      <c r="AN16" s="200">
        <f t="shared" si="1"/>
        <v>1.872659176029963E-2</v>
      </c>
      <c r="AO16" s="257">
        <f>SUM(AN16:AN26)</f>
        <v>0.52661147250147844</v>
      </c>
    </row>
    <row r="17" spans="1:42" ht="15" x14ac:dyDescent="0.2">
      <c r="A17" s="233"/>
      <c r="B17" s="149">
        <v>35</v>
      </c>
      <c r="C17" s="149">
        <v>1.9</v>
      </c>
      <c r="D17" s="162">
        <f t="shared" si="0"/>
        <v>9.3596059113300503E-2</v>
      </c>
      <c r="E17" s="233"/>
      <c r="H17" s="149">
        <v>10.4</v>
      </c>
      <c r="I17" s="233"/>
      <c r="T17" s="149">
        <v>1.9</v>
      </c>
      <c r="V17" s="149">
        <v>1.1000000000000001</v>
      </c>
      <c r="W17" s="164">
        <f>V17/SUM(V9:V26)</f>
        <v>0.13253012048192775</v>
      </c>
      <c r="X17" s="233"/>
      <c r="Y17" s="149">
        <v>6.6</v>
      </c>
      <c r="Z17" s="233"/>
      <c r="AA17" s="149">
        <v>3.4</v>
      </c>
      <c r="AB17" s="233"/>
      <c r="AM17" s="148">
        <v>6.59</v>
      </c>
      <c r="AN17" s="200">
        <f t="shared" si="1"/>
        <v>6.4951705105460292E-2</v>
      </c>
      <c r="AO17" s="257"/>
    </row>
    <row r="18" spans="1:42" ht="15" x14ac:dyDescent="0.2">
      <c r="A18" s="233"/>
      <c r="B18" s="149">
        <v>39</v>
      </c>
      <c r="C18" s="149">
        <v>0.7</v>
      </c>
      <c r="D18" s="162">
        <f t="shared" si="0"/>
        <v>3.4482758620689655E-2</v>
      </c>
      <c r="E18" s="233"/>
      <c r="H18" s="149">
        <v>6.1</v>
      </c>
      <c r="I18" s="233"/>
      <c r="T18" s="149">
        <v>0.6</v>
      </c>
      <c r="V18" s="149">
        <v>0.3</v>
      </c>
      <c r="W18" s="164">
        <f>V18/SUM(V9:V26)</f>
        <v>3.6144578313253017E-2</v>
      </c>
      <c r="X18" s="233"/>
      <c r="Z18" s="233"/>
      <c r="AA18" s="149">
        <v>5.2</v>
      </c>
      <c r="AB18" s="233"/>
      <c r="AM18" s="148">
        <v>5</v>
      </c>
      <c r="AN18" s="200">
        <f t="shared" si="1"/>
        <v>4.9280504632367446E-2</v>
      </c>
      <c r="AO18" s="257"/>
    </row>
    <row r="19" spans="1:42" ht="15" x14ac:dyDescent="0.2">
      <c r="A19" s="233"/>
      <c r="B19" s="149">
        <v>51</v>
      </c>
      <c r="C19" s="149">
        <v>1</v>
      </c>
      <c r="D19" s="162">
        <f t="shared" si="0"/>
        <v>4.9261083743842374E-2</v>
      </c>
      <c r="E19" s="233"/>
      <c r="H19" s="149">
        <v>8.6999999999999993</v>
      </c>
      <c r="I19" s="233"/>
      <c r="T19" s="149">
        <v>2.1</v>
      </c>
      <c r="V19" s="149">
        <v>0.8</v>
      </c>
      <c r="W19" s="164">
        <f>V19/SUM(V9:V26)</f>
        <v>9.6385542168674718E-2</v>
      </c>
      <c r="X19" s="233"/>
      <c r="Z19" s="233"/>
      <c r="AA19" s="149">
        <v>7.1</v>
      </c>
      <c r="AB19" s="233"/>
      <c r="AM19" s="148">
        <v>9.2899999999999991</v>
      </c>
      <c r="AN19" s="200">
        <f t="shared" si="1"/>
        <v>9.1563177606938703E-2</v>
      </c>
      <c r="AO19" s="257"/>
    </row>
    <row r="20" spans="1:42" ht="15" x14ac:dyDescent="0.2">
      <c r="A20" s="233"/>
      <c r="B20" s="149">
        <v>53</v>
      </c>
      <c r="C20" s="149">
        <v>2.2999999999999998</v>
      </c>
      <c r="D20" s="162">
        <f t="shared" si="0"/>
        <v>0.11330049261083744</v>
      </c>
      <c r="E20" s="233"/>
      <c r="I20" s="233"/>
      <c r="T20" s="149">
        <v>0.6</v>
      </c>
      <c r="V20" s="149">
        <v>0.2</v>
      </c>
      <c r="W20" s="164">
        <f>V20/SUM(V9:V26)</f>
        <v>2.4096385542168679E-2</v>
      </c>
      <c r="X20" s="233"/>
      <c r="Z20" s="233"/>
      <c r="AB20" s="233"/>
      <c r="AM20" s="148">
        <v>9.1300000000000008</v>
      </c>
      <c r="AN20" s="200">
        <f t="shared" si="1"/>
        <v>8.9986201458702966E-2</v>
      </c>
      <c r="AO20" s="257"/>
    </row>
    <row r="21" spans="1:42" ht="15" x14ac:dyDescent="0.2">
      <c r="A21" s="233"/>
      <c r="B21" s="149">
        <v>56</v>
      </c>
      <c r="C21" s="149">
        <v>0.8</v>
      </c>
      <c r="D21" s="162">
        <f t="shared" si="0"/>
        <v>3.9408866995073899E-2</v>
      </c>
      <c r="E21" s="233"/>
      <c r="H21" s="149">
        <v>8</v>
      </c>
      <c r="I21" s="233"/>
      <c r="T21" s="149">
        <v>0.9</v>
      </c>
      <c r="V21" s="149">
        <v>0.3</v>
      </c>
      <c r="W21" s="164">
        <f>V21/SUM(V9:V26)</f>
        <v>3.6144578313253017E-2</v>
      </c>
      <c r="X21" s="233"/>
      <c r="Z21" s="233"/>
      <c r="AA21" s="149">
        <v>5.2</v>
      </c>
      <c r="AB21" s="233"/>
      <c r="AM21" s="148">
        <v>4.05</v>
      </c>
      <c r="AN21" s="200">
        <f t="shared" si="1"/>
        <v>3.9917208752217631E-2</v>
      </c>
      <c r="AO21" s="257"/>
    </row>
    <row r="22" spans="1:42" ht="15" x14ac:dyDescent="0.2">
      <c r="A22" s="233"/>
      <c r="B22" s="149">
        <v>59</v>
      </c>
      <c r="C22" s="149">
        <v>0.9</v>
      </c>
      <c r="D22" s="162">
        <f t="shared" si="0"/>
        <v>4.4334975369458136E-2</v>
      </c>
      <c r="E22" s="233"/>
      <c r="H22" s="149">
        <v>5</v>
      </c>
      <c r="I22" s="233"/>
      <c r="T22" s="149">
        <v>0.1</v>
      </c>
      <c r="V22" s="149">
        <v>0.1</v>
      </c>
      <c r="W22" s="164">
        <f>V22/SUM(V9:V26)</f>
        <v>1.204819277108434E-2</v>
      </c>
      <c r="X22" s="233"/>
      <c r="Z22" s="233"/>
      <c r="AA22" s="149">
        <v>3.2</v>
      </c>
      <c r="AB22" s="233"/>
      <c r="AM22" s="148">
        <v>2.94</v>
      </c>
      <c r="AN22" s="200">
        <f t="shared" si="1"/>
        <v>2.8976936723832059E-2</v>
      </c>
      <c r="AO22" s="257"/>
    </row>
    <row r="23" spans="1:42" ht="15" x14ac:dyDescent="0.2">
      <c r="A23" s="233"/>
      <c r="B23" s="149">
        <v>66</v>
      </c>
      <c r="C23" s="149">
        <v>0.7</v>
      </c>
      <c r="D23" s="162">
        <f t="shared" si="0"/>
        <v>3.4482758620689655E-2</v>
      </c>
      <c r="E23" s="233"/>
      <c r="I23" s="233"/>
      <c r="T23" s="149">
        <v>1.6</v>
      </c>
      <c r="V23" s="149">
        <v>0.5</v>
      </c>
      <c r="W23" s="164">
        <f>V23/SUM(V9:V26)</f>
        <v>6.0240963855421693E-2</v>
      </c>
      <c r="X23" s="233"/>
      <c r="Z23" s="233"/>
      <c r="AB23" s="233"/>
      <c r="AM23" s="148">
        <v>5.43</v>
      </c>
      <c r="AN23" s="200">
        <f t="shared" si="1"/>
        <v>5.3518628030751046E-2</v>
      </c>
      <c r="AO23" s="257"/>
    </row>
    <row r="24" spans="1:42" ht="15" x14ac:dyDescent="0.2">
      <c r="A24" s="233"/>
      <c r="B24" s="149">
        <v>68</v>
      </c>
      <c r="C24" s="149">
        <v>1.2</v>
      </c>
      <c r="D24" s="162">
        <f t="shared" si="0"/>
        <v>5.9113300492610842E-2</v>
      </c>
      <c r="E24" s="233"/>
      <c r="H24" s="149">
        <v>6.9</v>
      </c>
      <c r="I24" s="233"/>
      <c r="T24" s="149">
        <v>1.1000000000000001</v>
      </c>
      <c r="V24" s="149">
        <v>0.5</v>
      </c>
      <c r="W24" s="164">
        <f>V24/SUM(V9:V26)</f>
        <v>6.0240963855421693E-2</v>
      </c>
      <c r="X24" s="233"/>
      <c r="Z24" s="233"/>
      <c r="AA24" s="149">
        <v>3.1</v>
      </c>
      <c r="AB24" s="233"/>
      <c r="AM24" s="148">
        <v>4.5999999999999996</v>
      </c>
      <c r="AN24" s="200">
        <f t="shared" si="1"/>
        <v>4.5338064261778048E-2</v>
      </c>
      <c r="AO24" s="257"/>
    </row>
    <row r="25" spans="1:42" ht="15" x14ac:dyDescent="0.2">
      <c r="A25" s="233"/>
      <c r="B25" s="149">
        <v>73</v>
      </c>
      <c r="C25" s="149">
        <v>0.8</v>
      </c>
      <c r="D25" s="162">
        <f t="shared" si="0"/>
        <v>3.9408866995073899E-2</v>
      </c>
      <c r="E25" s="233"/>
      <c r="I25" s="233"/>
      <c r="W25" s="164"/>
      <c r="X25" s="233"/>
      <c r="Z25" s="233"/>
      <c r="AB25" s="233"/>
      <c r="AM25" s="148">
        <v>2.4</v>
      </c>
      <c r="AN25" s="200">
        <f t="shared" si="1"/>
        <v>2.3654642223536373E-2</v>
      </c>
      <c r="AO25" s="257"/>
    </row>
    <row r="26" spans="1:42" ht="15" x14ac:dyDescent="0.2">
      <c r="A26" s="233"/>
      <c r="B26" s="149">
        <v>82</v>
      </c>
      <c r="C26" s="149">
        <v>0.4</v>
      </c>
      <c r="D26" s="162">
        <f t="shared" si="0"/>
        <v>1.970443349753695E-2</v>
      </c>
      <c r="E26" s="233"/>
      <c r="I26" s="233"/>
      <c r="T26" s="149">
        <v>0.3</v>
      </c>
      <c r="V26" s="149">
        <v>0.1</v>
      </c>
      <c r="W26" s="164">
        <f>V26/SUM(V9:V26)</f>
        <v>1.204819277108434E-2</v>
      </c>
      <c r="X26" s="233"/>
      <c r="Z26" s="233"/>
      <c r="AB26" s="233"/>
      <c r="AM26" s="148">
        <v>2.1</v>
      </c>
      <c r="AN26" s="200">
        <f t="shared" si="1"/>
        <v>2.0697811945594329E-2</v>
      </c>
      <c r="AO26" s="257"/>
      <c r="AP26" s="200"/>
    </row>
    <row r="27" spans="1:42" s="186" customFormat="1" ht="13" x14ac:dyDescent="0.15">
      <c r="A27" s="195" t="s">
        <v>303</v>
      </c>
      <c r="B27" s="195"/>
      <c r="C27" s="195"/>
      <c r="D27" s="202"/>
      <c r="E27" s="201"/>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4"/>
      <c r="AJ27" s="194"/>
      <c r="AK27" s="194"/>
      <c r="AL27" s="194"/>
    </row>
    <row r="28" spans="1:42" ht="15" x14ac:dyDescent="0.2">
      <c r="A28" s="252" t="s">
        <v>304</v>
      </c>
      <c r="B28" s="149">
        <v>16</v>
      </c>
      <c r="C28" s="149">
        <v>12.3</v>
      </c>
      <c r="D28" s="162">
        <f t="shared" ref="D28:D46" si="2">C28/(SUM(C$28:C$46))</f>
        <v>9.5869056897895572E-2</v>
      </c>
      <c r="E28" s="165">
        <f>D28</f>
        <v>9.5869056897895572E-2</v>
      </c>
      <c r="H28" s="163">
        <v>21.9</v>
      </c>
      <c r="I28" s="149">
        <f>H28/100</f>
        <v>0.21899999999999997</v>
      </c>
      <c r="T28" s="149">
        <v>9.6999999999999993</v>
      </c>
      <c r="V28" s="149">
        <v>3.2</v>
      </c>
      <c r="W28" s="164">
        <f>V28/SUM(V28:V45)</f>
        <v>7.9800498753117205E-2</v>
      </c>
      <c r="X28" s="164">
        <f>W28</f>
        <v>7.9800498753117205E-2</v>
      </c>
      <c r="Y28" s="149">
        <v>16.8</v>
      </c>
      <c r="Z28" s="149">
        <f>Y28/100</f>
        <v>0.16800000000000001</v>
      </c>
      <c r="AA28" s="149">
        <v>25.1</v>
      </c>
      <c r="AB28" s="149">
        <f>AA28/100</f>
        <v>0.251</v>
      </c>
      <c r="AG28" s="149">
        <v>16.3</v>
      </c>
      <c r="AH28" s="149">
        <f>AG28/100</f>
        <v>0.16300000000000001</v>
      </c>
    </row>
    <row r="29" spans="1:42" ht="15" x14ac:dyDescent="0.2">
      <c r="A29" s="233"/>
      <c r="B29" s="149">
        <v>18</v>
      </c>
      <c r="C29" s="149">
        <v>8.8000000000000007</v>
      </c>
      <c r="D29" s="162">
        <f t="shared" si="2"/>
        <v>6.8589243959470012E-2</v>
      </c>
      <c r="E29" s="165">
        <f>D29</f>
        <v>6.8589243959470012E-2</v>
      </c>
      <c r="H29" s="163">
        <v>13.5</v>
      </c>
      <c r="I29" s="149">
        <f>H29/100</f>
        <v>0.13500000000000001</v>
      </c>
      <c r="T29" s="149">
        <v>4.8</v>
      </c>
      <c r="V29" s="149">
        <v>3.2</v>
      </c>
      <c r="W29" s="164">
        <f>V29/SUM(V28:V45)</f>
        <v>7.9800498753117205E-2</v>
      </c>
      <c r="X29" s="164">
        <f>W29</f>
        <v>7.9800498753117205E-2</v>
      </c>
      <c r="Y29" s="149">
        <v>8.3000000000000007</v>
      </c>
      <c r="Z29" s="149">
        <f>Y29/100</f>
        <v>8.3000000000000004E-2</v>
      </c>
      <c r="AA29" s="149">
        <v>8.6999999999999993</v>
      </c>
      <c r="AB29" s="149">
        <f>AA29/100</f>
        <v>8.6999999999999994E-2</v>
      </c>
      <c r="AG29" s="149">
        <v>9.3000000000000007</v>
      </c>
      <c r="AH29" s="149">
        <f>AG29/100</f>
        <v>9.3000000000000013E-2</v>
      </c>
    </row>
    <row r="30" spans="1:42" ht="15" x14ac:dyDescent="0.2">
      <c r="A30" s="233"/>
      <c r="B30" s="149">
        <v>31</v>
      </c>
      <c r="C30" s="149">
        <v>3.5</v>
      </c>
      <c r="D30" s="162">
        <f t="shared" si="2"/>
        <v>2.727981293842557E-2</v>
      </c>
      <c r="E30" s="253">
        <f>SUM(D30:D34)</f>
        <v>0.30085736554949344</v>
      </c>
      <c r="H30" s="163">
        <v>8.4</v>
      </c>
      <c r="I30" s="232">
        <f>(SUM(H30:H34)/SUM(H$30:H$46))* (1 - (SUM(I28:I29)))</f>
        <v>0.30589562547966231</v>
      </c>
      <c r="T30" s="149">
        <v>4.8</v>
      </c>
      <c r="V30" s="149">
        <v>3.2</v>
      </c>
      <c r="W30" s="164">
        <f>V30/SUM(V28:V45)</f>
        <v>7.9800498753117205E-2</v>
      </c>
      <c r="X30" s="234">
        <f>SUM(W30:W34)</f>
        <v>0.44139650872817959</v>
      </c>
      <c r="Y30" s="149">
        <v>6.5</v>
      </c>
      <c r="Z30" s="232">
        <f>SUM(Y30:Y34)/100</f>
        <v>0.42</v>
      </c>
      <c r="AA30" s="149">
        <v>9.5</v>
      </c>
      <c r="AB30" s="232">
        <f>SUM(AA30:AA34)/100</f>
        <v>0.35100000000000003</v>
      </c>
      <c r="AG30" s="149">
        <v>6.1</v>
      </c>
      <c r="AH30" s="232">
        <f>SUM(AG30:AG34)/100</f>
        <v>0.317</v>
      </c>
    </row>
    <row r="31" spans="1:42" ht="15" x14ac:dyDescent="0.2">
      <c r="A31" s="233"/>
      <c r="B31" s="149">
        <v>33</v>
      </c>
      <c r="C31" s="149">
        <v>7</v>
      </c>
      <c r="D31" s="162">
        <f t="shared" si="2"/>
        <v>5.4559625876851141E-2</v>
      </c>
      <c r="E31" s="233"/>
      <c r="H31" s="163">
        <v>10</v>
      </c>
      <c r="I31" s="233"/>
      <c r="T31" s="149">
        <v>3.2</v>
      </c>
      <c r="V31" s="149">
        <v>3.2</v>
      </c>
      <c r="W31" s="164">
        <f>V31/SUM(V28:V45)</f>
        <v>7.9800498753117205E-2</v>
      </c>
      <c r="X31" s="233"/>
      <c r="Y31" s="149">
        <v>8.5</v>
      </c>
      <c r="Z31" s="233"/>
      <c r="AA31" s="149">
        <v>6.1</v>
      </c>
      <c r="AB31" s="233"/>
      <c r="AG31" s="149">
        <v>5.9</v>
      </c>
      <c r="AH31" s="233"/>
    </row>
    <row r="32" spans="1:42" ht="15" x14ac:dyDescent="0.2">
      <c r="A32" s="233"/>
      <c r="B32" s="149">
        <v>45</v>
      </c>
      <c r="C32" s="149">
        <v>5.3</v>
      </c>
      <c r="D32" s="162">
        <f t="shared" si="2"/>
        <v>4.1309431021044431E-2</v>
      </c>
      <c r="E32" s="233"/>
      <c r="H32" s="163">
        <v>11.3</v>
      </c>
      <c r="I32" s="233"/>
      <c r="T32" s="149">
        <v>3.2</v>
      </c>
      <c r="V32" s="149">
        <v>1.6</v>
      </c>
      <c r="W32" s="164">
        <f>V32/SUM(V28:V45)</f>
        <v>3.9900249376558602E-2</v>
      </c>
      <c r="X32" s="233"/>
      <c r="Y32" s="149">
        <v>4.4000000000000004</v>
      </c>
      <c r="Z32" s="233"/>
      <c r="AA32" s="149">
        <v>4.3</v>
      </c>
      <c r="AB32" s="233"/>
      <c r="AG32" s="149">
        <v>2.9</v>
      </c>
      <c r="AH32" s="233"/>
    </row>
    <row r="33" spans="1:43" ht="15" x14ac:dyDescent="0.2">
      <c r="A33" s="233"/>
      <c r="B33" s="149">
        <v>52</v>
      </c>
      <c r="C33" s="149">
        <v>17.5</v>
      </c>
      <c r="D33" s="162">
        <f t="shared" si="2"/>
        <v>0.13639906469212784</v>
      </c>
      <c r="E33" s="233"/>
      <c r="H33" s="163">
        <v>16.8</v>
      </c>
      <c r="I33" s="233"/>
      <c r="T33" s="149">
        <v>14.5</v>
      </c>
      <c r="V33" s="149">
        <v>6.5</v>
      </c>
      <c r="W33" s="164">
        <f>V33/SUM(V28:V45)</f>
        <v>0.16209476309226933</v>
      </c>
      <c r="X33" s="233"/>
      <c r="Y33" s="149">
        <v>11.8</v>
      </c>
      <c r="Z33" s="233"/>
      <c r="AA33" s="149">
        <v>8.1</v>
      </c>
      <c r="AB33" s="233"/>
      <c r="AG33" s="149">
        <v>6.8</v>
      </c>
      <c r="AH33" s="233"/>
    </row>
    <row r="34" spans="1:43" ht="15" x14ac:dyDescent="0.2">
      <c r="A34" s="233"/>
      <c r="B34" s="149">
        <v>58</v>
      </c>
      <c r="C34" s="149">
        <v>5.3</v>
      </c>
      <c r="D34" s="162">
        <f t="shared" si="2"/>
        <v>4.1309431021044431E-2</v>
      </c>
      <c r="E34" s="233"/>
      <c r="H34" s="163">
        <v>15.2</v>
      </c>
      <c r="I34" s="233"/>
      <c r="T34" s="149">
        <v>8.1</v>
      </c>
      <c r="V34" s="149">
        <v>3.2</v>
      </c>
      <c r="W34" s="164">
        <f>V34/SUM(V28:V45)</f>
        <v>7.9800498753117205E-2</v>
      </c>
      <c r="X34" s="233"/>
      <c r="Y34" s="149">
        <v>10.8</v>
      </c>
      <c r="Z34" s="233"/>
      <c r="AA34" s="149">
        <v>7.1</v>
      </c>
      <c r="AB34" s="233"/>
      <c r="AG34" s="149">
        <v>10</v>
      </c>
      <c r="AH34" s="233"/>
    </row>
    <row r="35" spans="1:43" ht="15" x14ac:dyDescent="0.2">
      <c r="A35" s="252" t="s">
        <v>302</v>
      </c>
      <c r="B35" s="149">
        <v>26</v>
      </c>
      <c r="C35" s="149">
        <v>0</v>
      </c>
      <c r="D35" s="162">
        <f t="shared" si="2"/>
        <v>0</v>
      </c>
      <c r="E35" s="253">
        <f>SUM(D35:D46)</f>
        <v>0.53468433359314127</v>
      </c>
      <c r="I35" s="232">
        <f>(SUM(H35:H46)/SUM(H$30:H$46))* (1 - (SUM(I28:I29)))</f>
        <v>0.34010437452033765</v>
      </c>
      <c r="W35" s="164"/>
      <c r="X35" s="234">
        <f>SUM(V35:V45)/SUM(V28:V45)</f>
        <v>0.399002493765586</v>
      </c>
      <c r="Z35" s="232">
        <f>1-SUM(Z28:Z34)</f>
        <v>0.32899999999999996</v>
      </c>
      <c r="AB35" s="232">
        <f>1-SUM(AB28:AB34)</f>
        <v>0.31099999999999994</v>
      </c>
      <c r="AH35" s="232">
        <f>1-SUM(AH28:AH34)</f>
        <v>0.42700000000000005</v>
      </c>
    </row>
    <row r="36" spans="1:43" ht="15" x14ac:dyDescent="0.2">
      <c r="A36" s="233"/>
      <c r="B36" s="149">
        <v>35</v>
      </c>
      <c r="C36" s="149">
        <v>12.3</v>
      </c>
      <c r="D36" s="162">
        <f t="shared" si="2"/>
        <v>9.5869056897895572E-2</v>
      </c>
      <c r="E36" s="233"/>
      <c r="H36" s="163">
        <v>15.8</v>
      </c>
      <c r="I36" s="233"/>
      <c r="T36" s="149">
        <v>12.9</v>
      </c>
      <c r="V36" s="149">
        <v>4.8</v>
      </c>
      <c r="W36" s="164">
        <f>V36/SUM(V28:V45)</f>
        <v>0.11970074812967581</v>
      </c>
      <c r="X36" s="233"/>
      <c r="Y36" s="149">
        <v>7.9</v>
      </c>
      <c r="Z36" s="233"/>
      <c r="AA36" s="149">
        <v>4.7</v>
      </c>
      <c r="AB36" s="233"/>
      <c r="AG36" s="149">
        <v>6.5</v>
      </c>
      <c r="AH36" s="233"/>
    </row>
    <row r="37" spans="1:43" ht="15" x14ac:dyDescent="0.2">
      <c r="A37" s="233"/>
      <c r="B37" s="149">
        <v>39</v>
      </c>
      <c r="C37" s="149">
        <v>1.8</v>
      </c>
      <c r="D37" s="162">
        <f t="shared" si="2"/>
        <v>1.4029618082618864E-2</v>
      </c>
      <c r="E37" s="233"/>
      <c r="H37" s="163">
        <v>9.5</v>
      </c>
      <c r="I37" s="233"/>
      <c r="T37" s="149">
        <v>6.5</v>
      </c>
      <c r="V37" s="149">
        <v>0</v>
      </c>
      <c r="W37" s="161">
        <f>V37/SUM(V28:V45)</f>
        <v>0</v>
      </c>
      <c r="X37" s="233"/>
      <c r="Z37" s="233"/>
      <c r="AA37" s="149">
        <v>6.8</v>
      </c>
      <c r="AB37" s="233"/>
      <c r="AG37" s="149">
        <v>2</v>
      </c>
      <c r="AH37" s="233"/>
    </row>
    <row r="38" spans="1:43" ht="15" x14ac:dyDescent="0.2">
      <c r="A38" s="233"/>
      <c r="B38" s="149">
        <v>51</v>
      </c>
      <c r="C38" s="149">
        <v>8.8000000000000007</v>
      </c>
      <c r="D38" s="162">
        <f t="shared" si="2"/>
        <v>6.8589243959470012E-2</v>
      </c>
      <c r="E38" s="233"/>
      <c r="H38" s="163">
        <v>13.2</v>
      </c>
      <c r="I38" s="233"/>
      <c r="T38" s="149">
        <v>12.9</v>
      </c>
      <c r="V38" s="149">
        <v>4.8</v>
      </c>
      <c r="W38" s="164">
        <f>V38/SUM(V28:V45)</f>
        <v>0.11970074812967581</v>
      </c>
      <c r="X38" s="233"/>
      <c r="Z38" s="233"/>
      <c r="AA38" s="149">
        <v>11.8</v>
      </c>
      <c r="AB38" s="233"/>
      <c r="AG38" s="149">
        <v>1.9</v>
      </c>
      <c r="AH38" s="233"/>
    </row>
    <row r="39" spans="1:43" ht="15" x14ac:dyDescent="0.2">
      <c r="A39" s="233"/>
      <c r="B39" s="149">
        <v>53</v>
      </c>
      <c r="C39" s="149">
        <v>15.8</v>
      </c>
      <c r="D39" s="162">
        <f t="shared" si="2"/>
        <v>0.12314886983632115</v>
      </c>
      <c r="E39" s="233"/>
      <c r="I39" s="233"/>
      <c r="T39" s="149">
        <v>6.5</v>
      </c>
      <c r="V39" s="149">
        <v>1.6</v>
      </c>
      <c r="W39" s="164">
        <f>V39/SUM(V28:V45)</f>
        <v>3.9900249376558602E-2</v>
      </c>
      <c r="X39" s="233"/>
      <c r="Z39" s="233"/>
      <c r="AB39" s="233"/>
      <c r="AG39" s="149">
        <v>9.8000000000000007</v>
      </c>
      <c r="AH39" s="233"/>
    </row>
    <row r="40" spans="1:43" ht="15" x14ac:dyDescent="0.2">
      <c r="A40" s="233"/>
      <c r="B40" s="149">
        <v>56</v>
      </c>
      <c r="C40" s="149">
        <v>3.5</v>
      </c>
      <c r="D40" s="162">
        <f t="shared" si="2"/>
        <v>2.727981293842557E-2</v>
      </c>
      <c r="E40" s="233"/>
      <c r="H40" s="163">
        <v>11.8</v>
      </c>
      <c r="I40" s="233"/>
      <c r="T40" s="149">
        <v>9.6999999999999993</v>
      </c>
      <c r="V40" s="149">
        <v>3.2</v>
      </c>
      <c r="W40" s="164">
        <f>V40/SUM(V28:V45)</f>
        <v>7.9800498753117205E-2</v>
      </c>
      <c r="X40" s="233"/>
      <c r="Z40" s="233"/>
      <c r="AA40" s="149">
        <v>8.6</v>
      </c>
      <c r="AB40" s="233"/>
      <c r="AG40" s="149">
        <v>4</v>
      </c>
      <c r="AH40" s="233"/>
    </row>
    <row r="41" spans="1:43" ht="15" x14ac:dyDescent="0.2">
      <c r="A41" s="233"/>
      <c r="B41" s="149">
        <v>59</v>
      </c>
      <c r="C41" s="149">
        <v>3.5</v>
      </c>
      <c r="D41" s="162">
        <f t="shared" si="2"/>
        <v>2.727981293842557E-2</v>
      </c>
      <c r="E41" s="233"/>
      <c r="H41" s="163">
        <v>8.9</v>
      </c>
      <c r="I41" s="233"/>
      <c r="T41" s="149">
        <v>1.6</v>
      </c>
      <c r="V41" s="149">
        <v>0</v>
      </c>
      <c r="W41" s="161">
        <f>V41/SUM(V28:V45)</f>
        <v>0</v>
      </c>
      <c r="X41" s="233"/>
      <c r="Z41" s="233"/>
      <c r="AA41" s="149">
        <v>5.3</v>
      </c>
      <c r="AB41" s="233"/>
      <c r="AG41" s="149">
        <v>2.8</v>
      </c>
      <c r="AH41" s="233"/>
    </row>
    <row r="42" spans="1:43" ht="15" x14ac:dyDescent="0.2">
      <c r="A42" s="233"/>
      <c r="B42" s="149">
        <v>66</v>
      </c>
      <c r="C42" s="149">
        <v>3.5</v>
      </c>
      <c r="D42" s="162">
        <f t="shared" si="2"/>
        <v>2.727981293842557E-2</v>
      </c>
      <c r="E42" s="233"/>
      <c r="I42" s="233"/>
      <c r="T42" s="149">
        <v>6.5</v>
      </c>
      <c r="V42" s="149">
        <v>0</v>
      </c>
      <c r="W42" s="161">
        <f>V42/SUM(V28:V45)</f>
        <v>0</v>
      </c>
      <c r="X42" s="233"/>
      <c r="Z42" s="233"/>
      <c r="AB42" s="233"/>
      <c r="AG42" s="149">
        <v>3</v>
      </c>
      <c r="AH42" s="233"/>
    </row>
    <row r="43" spans="1:43" ht="15" x14ac:dyDescent="0.2">
      <c r="A43" s="233"/>
      <c r="B43" s="149">
        <v>68</v>
      </c>
      <c r="C43" s="149">
        <v>0</v>
      </c>
      <c r="D43" s="162">
        <f t="shared" si="2"/>
        <v>0</v>
      </c>
      <c r="E43" s="233"/>
      <c r="H43" s="163">
        <v>9.4</v>
      </c>
      <c r="I43" s="233"/>
      <c r="T43" s="149">
        <v>4.8</v>
      </c>
      <c r="V43" s="149">
        <v>1.6</v>
      </c>
      <c r="W43" s="164">
        <f>V43/SUM(V28:V45)</f>
        <v>3.9900249376558602E-2</v>
      </c>
      <c r="X43" s="233"/>
      <c r="Z43" s="233"/>
      <c r="AA43" s="149">
        <v>2.7</v>
      </c>
      <c r="AB43" s="233"/>
      <c r="AH43" s="233"/>
    </row>
    <row r="44" spans="1:43" ht="15" x14ac:dyDescent="0.2">
      <c r="A44" s="233"/>
      <c r="B44" s="149">
        <v>73</v>
      </c>
      <c r="C44" s="149">
        <v>1.8</v>
      </c>
      <c r="D44" s="162">
        <f t="shared" si="2"/>
        <v>1.4029618082618864E-2</v>
      </c>
      <c r="E44" s="233"/>
      <c r="I44" s="233"/>
      <c r="W44" s="164"/>
      <c r="X44" s="233"/>
      <c r="Z44" s="233"/>
      <c r="AB44" s="233"/>
      <c r="AH44" s="233"/>
    </row>
    <row r="45" spans="1:43" ht="15" x14ac:dyDescent="0.2">
      <c r="A45" s="233"/>
      <c r="B45" s="149">
        <v>82</v>
      </c>
      <c r="C45" s="149">
        <v>8.8000000000000007</v>
      </c>
      <c r="D45" s="162">
        <f t="shared" si="2"/>
        <v>6.8589243959470012E-2</v>
      </c>
      <c r="E45" s="233"/>
      <c r="I45" s="233"/>
      <c r="T45" s="149">
        <v>1.6</v>
      </c>
      <c r="V45" s="149">
        <v>0</v>
      </c>
      <c r="W45" s="161">
        <f>V45/SUM(V28:V45)</f>
        <v>0</v>
      </c>
      <c r="X45" s="233"/>
      <c r="Z45" s="233"/>
      <c r="AB45" s="233"/>
      <c r="AH45" s="233"/>
    </row>
    <row r="46" spans="1:43" ht="15" x14ac:dyDescent="0.2">
      <c r="A46" s="233"/>
      <c r="B46" s="149">
        <v>82</v>
      </c>
      <c r="C46" s="149">
        <v>8.8000000000000007</v>
      </c>
      <c r="D46" s="162">
        <f t="shared" si="2"/>
        <v>6.8589243959470012E-2</v>
      </c>
      <c r="E46" s="233"/>
      <c r="I46" s="233"/>
      <c r="Z46" s="233"/>
      <c r="AB46" s="233"/>
      <c r="AH46" s="233"/>
    </row>
    <row r="47" spans="1:43" s="186" customFormat="1" ht="13" x14ac:dyDescent="0.15">
      <c r="A47" s="195" t="s">
        <v>305</v>
      </c>
      <c r="B47" s="195"/>
      <c r="C47" s="195"/>
      <c r="D47" s="202"/>
      <c r="E47" s="201"/>
      <c r="F47" s="195"/>
      <c r="G47" s="195"/>
      <c r="H47" s="195"/>
      <c r="I47" s="195"/>
      <c r="J47" s="195"/>
      <c r="K47" s="195"/>
      <c r="L47" s="195"/>
      <c r="M47" s="195"/>
      <c r="N47" s="195"/>
      <c r="O47" s="195"/>
      <c r="P47" s="195"/>
      <c r="Q47" s="195"/>
      <c r="R47" s="195"/>
      <c r="S47" s="195"/>
      <c r="T47" s="195"/>
      <c r="U47" s="195"/>
      <c r="V47" s="195"/>
      <c r="W47" s="195"/>
      <c r="X47" s="195"/>
      <c r="Y47" s="195"/>
      <c r="Z47" s="195"/>
      <c r="AA47" s="195"/>
      <c r="AB47" s="195"/>
      <c r="AC47" s="195"/>
      <c r="AD47" s="195"/>
      <c r="AE47" s="195"/>
      <c r="AF47" s="195"/>
      <c r="AG47" s="195"/>
      <c r="AH47" s="195"/>
      <c r="AI47" s="194"/>
      <c r="AJ47" s="194"/>
      <c r="AK47" s="194"/>
      <c r="AL47" s="194"/>
    </row>
    <row r="48" spans="1:43" ht="15" x14ac:dyDescent="0.2">
      <c r="A48" s="252" t="s">
        <v>304</v>
      </c>
      <c r="B48" s="149">
        <v>16</v>
      </c>
      <c r="C48" s="149">
        <v>24.5</v>
      </c>
      <c r="D48" s="162">
        <f t="shared" ref="D48:D67" si="3">C48/(SUM(C$48:C$67))</f>
        <v>0.15971316818774448</v>
      </c>
      <c r="E48" s="165">
        <f>D48</f>
        <v>0.15971316818774448</v>
      </c>
      <c r="H48" s="163">
        <v>31.3</v>
      </c>
      <c r="I48" s="149">
        <f>H48/100</f>
        <v>0.313</v>
      </c>
      <c r="T48" s="149">
        <v>32.799999999999997</v>
      </c>
      <c r="V48" s="149">
        <v>19.7</v>
      </c>
      <c r="W48" s="164">
        <f>V48/SUM(V48:V67)</f>
        <v>0.33389830508474572</v>
      </c>
      <c r="X48" s="164">
        <f>W48</f>
        <v>0.33389830508474572</v>
      </c>
      <c r="Y48" s="149">
        <v>30.3</v>
      </c>
      <c r="Z48" s="149">
        <f>Y48/100</f>
        <v>0.30299999999999999</v>
      </c>
      <c r="AA48" s="160">
        <v>47.5</v>
      </c>
      <c r="AB48" s="149">
        <f>AA48/100</f>
        <v>0.47499999999999998</v>
      </c>
      <c r="AP48" s="257">
        <f>79.6/(79.6+13.3)</f>
        <v>0.85683530678148545</v>
      </c>
      <c r="AQ48" s="257">
        <f>77.8/(77.8+15.6)</f>
        <v>0.83297644539614568</v>
      </c>
    </row>
    <row r="49" spans="1:43" ht="15" x14ac:dyDescent="0.2">
      <c r="A49" s="233"/>
      <c r="B49" s="149">
        <v>18</v>
      </c>
      <c r="C49" s="149">
        <v>9.1999999999999993</v>
      </c>
      <c r="D49" s="162">
        <f t="shared" si="3"/>
        <v>5.9973924380704043E-2</v>
      </c>
      <c r="E49" s="165">
        <f>D49</f>
        <v>5.9973924380704043E-2</v>
      </c>
      <c r="H49" s="163">
        <v>15.6</v>
      </c>
      <c r="I49" s="149">
        <f>H49/100</f>
        <v>0.156</v>
      </c>
      <c r="T49" s="149">
        <v>18.2</v>
      </c>
      <c r="V49" s="149">
        <v>7.3</v>
      </c>
      <c r="W49" s="164">
        <f>V49/SUM(V48:V67)</f>
        <v>0.12372881355932201</v>
      </c>
      <c r="X49" s="164">
        <f>W49</f>
        <v>0.12372881355932201</v>
      </c>
      <c r="Y49" s="149">
        <v>9.1999999999999993</v>
      </c>
      <c r="Z49" s="149">
        <f>Y49/100</f>
        <v>9.1999999999999998E-2</v>
      </c>
      <c r="AA49" s="160">
        <v>9.6</v>
      </c>
      <c r="AB49" s="149">
        <f>AA49/100</f>
        <v>9.6000000000000002E-2</v>
      </c>
      <c r="AP49" s="257"/>
      <c r="AQ49" s="257"/>
    </row>
    <row r="50" spans="1:43" ht="15" x14ac:dyDescent="0.2">
      <c r="A50" s="233"/>
      <c r="B50" s="149">
        <v>31</v>
      </c>
      <c r="C50" s="149">
        <v>14.3</v>
      </c>
      <c r="D50" s="162">
        <f t="shared" si="3"/>
        <v>9.3220338983050863E-2</v>
      </c>
      <c r="E50" s="253">
        <f>SUM(D50:D54)</f>
        <v>0.36571056062581492</v>
      </c>
      <c r="H50" s="163">
        <v>13.9</v>
      </c>
      <c r="I50" s="232">
        <f>(SUM(H50:H54)/(SUM(H50:H67))*(1-(SUM(I48:I49))))</f>
        <v>0.27666666666666667</v>
      </c>
      <c r="T50" s="149">
        <v>2.9</v>
      </c>
      <c r="V50" s="149">
        <v>0.7</v>
      </c>
      <c r="W50" s="164">
        <f>V50/SUM(V48:V67)</f>
        <v>1.1864406779661016E-2</v>
      </c>
      <c r="X50" s="234">
        <f>SUM(W50:W54)</f>
        <v>0.39491525423728807</v>
      </c>
      <c r="Y50" s="149">
        <v>8.1999999999999993</v>
      </c>
      <c r="Z50" s="232">
        <f>SUM(Y50:Y54)/100</f>
        <v>0.43400000000000005</v>
      </c>
      <c r="AA50" s="160">
        <v>11</v>
      </c>
      <c r="AB50" s="232">
        <f>SUM(AA50:AA54)/100</f>
        <v>0.41399999999999998</v>
      </c>
      <c r="AP50" s="257"/>
      <c r="AQ50" s="257"/>
    </row>
    <row r="51" spans="1:43" ht="15" x14ac:dyDescent="0.2">
      <c r="A51" s="233"/>
      <c r="B51" s="149">
        <v>33</v>
      </c>
      <c r="C51" s="149">
        <v>8.1999999999999993</v>
      </c>
      <c r="D51" s="162">
        <f t="shared" si="3"/>
        <v>5.3455019556714473E-2</v>
      </c>
      <c r="E51" s="233"/>
      <c r="H51" s="163">
        <v>14.5</v>
      </c>
      <c r="I51" s="233"/>
      <c r="T51" s="149">
        <v>9.5</v>
      </c>
      <c r="V51" s="149">
        <v>3.6</v>
      </c>
      <c r="W51" s="164">
        <f>V51/SUM(V48:V67)</f>
        <v>6.1016949152542369E-2</v>
      </c>
      <c r="X51" s="233"/>
      <c r="Y51" s="149">
        <v>8.9</v>
      </c>
      <c r="Z51" s="233"/>
      <c r="AA51" s="160">
        <v>8.4</v>
      </c>
      <c r="AB51" s="233"/>
      <c r="AP51" s="257"/>
      <c r="AQ51" s="257"/>
    </row>
    <row r="52" spans="1:43" ht="15" x14ac:dyDescent="0.2">
      <c r="A52" s="233"/>
      <c r="B52" s="149">
        <v>45</v>
      </c>
      <c r="C52" s="149">
        <v>7.1</v>
      </c>
      <c r="D52" s="162">
        <f t="shared" si="3"/>
        <v>4.6284224250325953E-2</v>
      </c>
      <c r="E52" s="233"/>
      <c r="H52" s="163">
        <v>13</v>
      </c>
      <c r="I52" s="233"/>
      <c r="T52" s="149">
        <v>3.6</v>
      </c>
      <c r="V52" s="149">
        <v>1.5</v>
      </c>
      <c r="W52" s="164">
        <f>V52/SUM(V48:V67)</f>
        <v>2.542372881355932E-2</v>
      </c>
      <c r="X52" s="233"/>
      <c r="Y52" s="149">
        <v>4.0999999999999996</v>
      </c>
      <c r="Z52" s="233"/>
      <c r="AA52" s="160">
        <v>4.5</v>
      </c>
      <c r="AB52" s="233"/>
      <c r="AP52" s="257"/>
      <c r="AQ52" s="257"/>
    </row>
    <row r="53" spans="1:43" ht="15" x14ac:dyDescent="0.2">
      <c r="A53" s="233"/>
      <c r="B53" s="149">
        <v>52</v>
      </c>
      <c r="C53" s="149">
        <v>16.3</v>
      </c>
      <c r="D53" s="162">
        <f t="shared" si="3"/>
        <v>0.10625814863103</v>
      </c>
      <c r="E53" s="233"/>
      <c r="H53" s="163">
        <v>17.399999999999999</v>
      </c>
      <c r="I53" s="233"/>
      <c r="T53" s="149">
        <v>24.1</v>
      </c>
      <c r="V53" s="149">
        <v>13.9</v>
      </c>
      <c r="W53" s="164">
        <f>V53/SUM(V48:V67)</f>
        <v>0.23559322033898303</v>
      </c>
      <c r="X53" s="233"/>
      <c r="Y53" s="149">
        <v>11</v>
      </c>
      <c r="Z53" s="233"/>
      <c r="AA53" s="160">
        <v>9.6</v>
      </c>
      <c r="AB53" s="233"/>
      <c r="AP53" s="257"/>
      <c r="AQ53" s="257"/>
    </row>
    <row r="54" spans="1:43" ht="15" x14ac:dyDescent="0.2">
      <c r="A54" s="233"/>
      <c r="B54" s="149">
        <v>58</v>
      </c>
      <c r="C54" s="149">
        <v>10.199999999999999</v>
      </c>
      <c r="D54" s="162">
        <f t="shared" si="3"/>
        <v>6.6492829204693613E-2</v>
      </c>
      <c r="E54" s="233"/>
      <c r="H54" s="163">
        <v>24.2</v>
      </c>
      <c r="I54" s="233"/>
      <c r="T54" s="149">
        <v>5.0999999999999996</v>
      </c>
      <c r="V54" s="149">
        <v>3.6</v>
      </c>
      <c r="W54" s="164">
        <f>V54/SUM(V48:V67)</f>
        <v>6.1016949152542369E-2</v>
      </c>
      <c r="X54" s="233"/>
      <c r="Y54" s="149">
        <v>11.2</v>
      </c>
      <c r="Z54" s="233"/>
      <c r="AA54" s="160">
        <v>7.9</v>
      </c>
      <c r="AB54" s="233"/>
      <c r="AP54" s="257"/>
      <c r="AQ54" s="257"/>
    </row>
    <row r="55" spans="1:43" ht="15" x14ac:dyDescent="0.2">
      <c r="A55" s="252" t="s">
        <v>302</v>
      </c>
      <c r="B55" s="149">
        <v>26</v>
      </c>
      <c r="C55" s="149">
        <v>2</v>
      </c>
      <c r="D55" s="162">
        <f t="shared" si="3"/>
        <v>1.3037809647979142E-2</v>
      </c>
      <c r="E55" s="253">
        <f>SUM(D55:D67)</f>
        <v>0.41460234680573665</v>
      </c>
      <c r="I55" s="232">
        <f>(SUM(H55:H67)/(SUM(H50:H67))*(1-(SUM(I48:I49))))</f>
        <v>0.25433333333333324</v>
      </c>
      <c r="W55" s="164"/>
      <c r="X55" s="234">
        <f>SUM(T56:T67)/SUM(T48:T67)</f>
        <v>0.32680195941217638</v>
      </c>
      <c r="Z55" s="232">
        <f>1-SUM(Z48:Z54)</f>
        <v>0.17099999999999993</v>
      </c>
      <c r="AA55" s="160"/>
      <c r="AB55" s="232">
        <f>1-SUM(AB48:AB54)</f>
        <v>1.5000000000000124E-2</v>
      </c>
      <c r="AP55" s="257">
        <f>1-AP48</f>
        <v>0.14316469321851455</v>
      </c>
      <c r="AQ55" s="257">
        <f>1-AQ48</f>
        <v>0.16702355460385432</v>
      </c>
    </row>
    <row r="56" spans="1:43" ht="15" x14ac:dyDescent="0.2">
      <c r="A56" s="233"/>
      <c r="B56" s="149">
        <v>35</v>
      </c>
      <c r="C56" s="149">
        <v>18.399999999999999</v>
      </c>
      <c r="D56" s="162">
        <f t="shared" si="3"/>
        <v>0.11994784876140809</v>
      </c>
      <c r="E56" s="233"/>
      <c r="H56" s="163">
        <v>21.8</v>
      </c>
      <c r="I56" s="233"/>
      <c r="T56" s="149">
        <v>13.1</v>
      </c>
      <c r="V56" s="149">
        <v>5.0999999999999996</v>
      </c>
      <c r="W56" s="164">
        <f>V56/SUM(V48:V67)</f>
        <v>8.6440677966101678E-2</v>
      </c>
      <c r="X56" s="233"/>
      <c r="Y56" s="149">
        <v>11.8</v>
      </c>
      <c r="Z56" s="233"/>
      <c r="AA56" s="160">
        <v>5.6</v>
      </c>
      <c r="AB56" s="233"/>
      <c r="AP56" s="257"/>
      <c r="AQ56" s="257"/>
    </row>
    <row r="57" spans="1:43" ht="15" x14ac:dyDescent="0.2">
      <c r="A57" s="233"/>
      <c r="B57" s="149">
        <v>39</v>
      </c>
      <c r="C57" s="149">
        <v>3.1</v>
      </c>
      <c r="D57" s="162">
        <f t="shared" si="3"/>
        <v>2.020860495436767E-2</v>
      </c>
      <c r="E57" s="233"/>
      <c r="H57" s="163">
        <v>9.6999999999999993</v>
      </c>
      <c r="I57" s="233"/>
      <c r="T57" s="149">
        <v>2.2000000000000002</v>
      </c>
      <c r="V57" s="149">
        <v>0.7</v>
      </c>
      <c r="W57" s="164">
        <f>V57/SUM(V48:V67)</f>
        <v>1.1864406779661016E-2</v>
      </c>
      <c r="X57" s="233"/>
      <c r="Z57" s="233"/>
      <c r="AA57" s="160">
        <v>4.2</v>
      </c>
      <c r="AB57" s="233"/>
      <c r="AP57" s="257"/>
      <c r="AQ57" s="257"/>
    </row>
    <row r="58" spans="1:43" ht="15" x14ac:dyDescent="0.2">
      <c r="A58" s="233"/>
      <c r="B58" s="149">
        <v>51</v>
      </c>
      <c r="C58" s="149">
        <v>8.1999999999999993</v>
      </c>
      <c r="D58" s="162">
        <f t="shared" si="3"/>
        <v>5.3455019556714473E-2</v>
      </c>
      <c r="E58" s="233"/>
      <c r="H58" s="163">
        <v>15.8</v>
      </c>
      <c r="I58" s="233"/>
      <c r="T58" s="149">
        <v>7.3</v>
      </c>
      <c r="V58" s="149">
        <v>0.7</v>
      </c>
      <c r="W58" s="164">
        <f>V58/SUM(V48:V67)</f>
        <v>1.1864406779661016E-2</v>
      </c>
      <c r="X58" s="233"/>
      <c r="Z58" s="233"/>
      <c r="AA58" s="160">
        <v>6.7</v>
      </c>
      <c r="AB58" s="233"/>
      <c r="AP58" s="257"/>
      <c r="AQ58" s="257"/>
    </row>
    <row r="59" spans="1:43" ht="15" x14ac:dyDescent="0.2">
      <c r="A59" s="233"/>
      <c r="B59" s="149">
        <v>53</v>
      </c>
      <c r="C59" s="149">
        <v>5.0999999999999996</v>
      </c>
      <c r="D59" s="162">
        <f t="shared" si="3"/>
        <v>3.3246414602346806E-2</v>
      </c>
      <c r="E59" s="233"/>
      <c r="I59" s="233"/>
      <c r="T59" s="149">
        <v>4.4000000000000004</v>
      </c>
      <c r="V59" s="149">
        <v>1.5</v>
      </c>
      <c r="W59" s="164">
        <f>V59/SUM(V48:V67)</f>
        <v>2.542372881355932E-2</v>
      </c>
      <c r="X59" s="233"/>
      <c r="Z59" s="233"/>
      <c r="AA59" s="160"/>
      <c r="AB59" s="233"/>
      <c r="AP59" s="257"/>
      <c r="AQ59" s="257"/>
    </row>
    <row r="60" spans="1:43" ht="15" x14ac:dyDescent="0.2">
      <c r="A60" s="233"/>
      <c r="B60" s="149">
        <v>56</v>
      </c>
      <c r="C60" s="149">
        <v>2</v>
      </c>
      <c r="D60" s="162">
        <f t="shared" si="3"/>
        <v>1.3037809647979142E-2</v>
      </c>
      <c r="E60" s="233"/>
      <c r="H60" s="163">
        <v>11.9</v>
      </c>
      <c r="I60" s="233"/>
      <c r="T60" s="149">
        <v>2.9</v>
      </c>
      <c r="V60" s="149">
        <v>0</v>
      </c>
      <c r="W60" s="161">
        <f>V60/SUM(V48:V67)</f>
        <v>0</v>
      </c>
      <c r="X60" s="233"/>
      <c r="Z60" s="233"/>
      <c r="AA60" s="160">
        <v>3.4</v>
      </c>
      <c r="AB60" s="233"/>
      <c r="AP60" s="257"/>
      <c r="AQ60" s="257"/>
    </row>
    <row r="61" spans="1:43" ht="15" x14ac:dyDescent="0.2">
      <c r="A61" s="233"/>
      <c r="B61" s="149">
        <v>59</v>
      </c>
      <c r="C61" s="149">
        <v>2</v>
      </c>
      <c r="D61" s="162">
        <f t="shared" si="3"/>
        <v>1.3037809647979142E-2</v>
      </c>
      <c r="E61" s="233"/>
      <c r="F61" s="200"/>
      <c r="H61" s="163">
        <v>8</v>
      </c>
      <c r="I61" s="233"/>
      <c r="T61" s="149">
        <v>0</v>
      </c>
      <c r="V61" s="149">
        <v>0</v>
      </c>
      <c r="W61" s="161">
        <f>V61/SUM(V48:V67)</f>
        <v>0</v>
      </c>
      <c r="X61" s="233"/>
      <c r="Z61" s="233"/>
      <c r="AA61" s="160">
        <v>2.9</v>
      </c>
      <c r="AB61" s="233"/>
      <c r="AP61" s="257"/>
      <c r="AQ61" s="257"/>
    </row>
    <row r="62" spans="1:43" ht="15" x14ac:dyDescent="0.2">
      <c r="A62" s="233"/>
      <c r="B62" s="149">
        <v>66</v>
      </c>
      <c r="C62" s="149">
        <v>5.0999999999999996</v>
      </c>
      <c r="D62" s="162">
        <f t="shared" si="3"/>
        <v>3.3246414602346806E-2</v>
      </c>
      <c r="E62" s="233"/>
      <c r="I62" s="233"/>
      <c r="T62" s="149">
        <v>10.199999999999999</v>
      </c>
      <c r="V62" s="149">
        <v>0.7</v>
      </c>
      <c r="W62" s="164">
        <f>V62/SUM(V48:V67)</f>
        <v>1.1864406779661016E-2</v>
      </c>
      <c r="X62" s="233"/>
      <c r="Z62" s="233"/>
      <c r="AA62" s="160"/>
      <c r="AB62" s="233"/>
      <c r="AP62" s="257"/>
      <c r="AQ62" s="257"/>
    </row>
    <row r="63" spans="1:43" ht="15" x14ac:dyDescent="0.2">
      <c r="A63" s="233"/>
      <c r="B63" s="149">
        <v>68</v>
      </c>
      <c r="C63" s="149">
        <v>4.0999999999999996</v>
      </c>
      <c r="D63" s="162">
        <f t="shared" si="3"/>
        <v>2.6727509778357236E-2</v>
      </c>
      <c r="E63" s="233"/>
      <c r="H63" s="163">
        <v>9.1</v>
      </c>
      <c r="I63" s="233"/>
      <c r="T63" s="149">
        <v>2.2000000000000002</v>
      </c>
      <c r="V63" s="149">
        <v>0</v>
      </c>
      <c r="W63" s="161">
        <f>V63/SUM(V48:V67)</f>
        <v>0</v>
      </c>
      <c r="X63" s="233"/>
      <c r="Z63" s="233"/>
      <c r="AA63" s="149">
        <v>2</v>
      </c>
      <c r="AB63" s="233"/>
      <c r="AP63" s="257"/>
      <c r="AQ63" s="257"/>
    </row>
    <row r="64" spans="1:43" ht="15" x14ac:dyDescent="0.2">
      <c r="A64" s="233"/>
      <c r="B64" s="149">
        <v>69</v>
      </c>
      <c r="C64" s="149">
        <v>2.2000000000000002</v>
      </c>
      <c r="D64" s="162">
        <f t="shared" si="3"/>
        <v>1.4341590612777056E-2</v>
      </c>
      <c r="E64" s="233"/>
      <c r="I64" s="233"/>
      <c r="W64" s="161"/>
      <c r="X64" s="233"/>
      <c r="Z64" s="233"/>
      <c r="AB64" s="233"/>
      <c r="AP64" s="257"/>
      <c r="AQ64" s="257"/>
    </row>
    <row r="65" spans="1:43" ht="15" x14ac:dyDescent="0.2">
      <c r="A65" s="233"/>
      <c r="B65" s="149">
        <v>70</v>
      </c>
      <c r="C65" s="149">
        <v>2.2000000000000002</v>
      </c>
      <c r="D65" s="162">
        <f t="shared" si="3"/>
        <v>1.4341590612777056E-2</v>
      </c>
      <c r="E65" s="233"/>
      <c r="I65" s="233"/>
      <c r="W65" s="161"/>
      <c r="X65" s="233"/>
      <c r="Z65" s="233"/>
      <c r="AB65" s="233"/>
      <c r="AP65" s="257"/>
      <c r="AQ65" s="257"/>
    </row>
    <row r="66" spans="1:43" ht="15" x14ac:dyDescent="0.2">
      <c r="A66" s="233"/>
      <c r="B66" s="149">
        <v>73</v>
      </c>
      <c r="C66" s="149">
        <v>4.0999999999999996</v>
      </c>
      <c r="D66" s="162">
        <f t="shared" si="3"/>
        <v>2.6727509778357236E-2</v>
      </c>
      <c r="E66" s="233"/>
      <c r="I66" s="233"/>
      <c r="W66" s="161"/>
      <c r="X66" s="233"/>
      <c r="Z66" s="233"/>
      <c r="AB66" s="233"/>
      <c r="AP66" s="257"/>
      <c r="AQ66" s="257"/>
    </row>
    <row r="67" spans="1:43" ht="15" x14ac:dyDescent="0.2">
      <c r="A67" s="233"/>
      <c r="B67" s="149">
        <v>82</v>
      </c>
      <c r="C67" s="149">
        <v>5.0999999999999996</v>
      </c>
      <c r="D67" s="162">
        <f t="shared" si="3"/>
        <v>3.3246414602346806E-2</v>
      </c>
      <c r="E67" s="233"/>
      <c r="I67" s="233"/>
      <c r="T67" s="149">
        <v>4.4000000000000004</v>
      </c>
      <c r="V67" s="149">
        <v>0</v>
      </c>
      <c r="W67" s="161">
        <f>V67/SUM(V48:V67)</f>
        <v>0</v>
      </c>
      <c r="X67" s="233"/>
      <c r="AB67" s="160"/>
      <c r="AP67" s="257"/>
      <c r="AQ67" s="257"/>
    </row>
    <row r="68" spans="1:43" s="186" customFormat="1" ht="13" x14ac:dyDescent="0.15">
      <c r="A68" s="195" t="s">
        <v>306</v>
      </c>
      <c r="B68" s="195"/>
      <c r="C68" s="195"/>
      <c r="D68" s="195"/>
      <c r="E68" s="199"/>
      <c r="F68" s="195"/>
      <c r="G68" s="195"/>
      <c r="H68" s="195"/>
      <c r="I68" s="195"/>
      <c r="J68" s="195"/>
      <c r="K68" s="195"/>
      <c r="L68" s="195"/>
      <c r="M68" s="195"/>
      <c r="N68" s="195"/>
      <c r="O68" s="195"/>
      <c r="P68" s="195"/>
      <c r="Q68" s="195"/>
      <c r="R68" s="195"/>
      <c r="S68" s="195"/>
      <c r="T68" s="195"/>
      <c r="U68" s="195"/>
      <c r="V68" s="195"/>
      <c r="W68" s="195"/>
      <c r="X68" s="195"/>
      <c r="Y68" s="195"/>
      <c r="Z68" s="195"/>
      <c r="AA68" s="195"/>
      <c r="AB68" s="195"/>
      <c r="AC68" s="195"/>
      <c r="AD68" s="195"/>
      <c r="AE68" s="195"/>
      <c r="AF68" s="195"/>
      <c r="AG68" s="195"/>
      <c r="AH68" s="195"/>
      <c r="AI68" s="194"/>
      <c r="AJ68" s="194"/>
      <c r="AK68" s="194"/>
      <c r="AL68" s="194"/>
    </row>
    <row r="69" spans="1:43" ht="13" x14ac:dyDescent="0.15">
      <c r="A69" s="252" t="s">
        <v>304</v>
      </c>
      <c r="B69" s="149">
        <v>16</v>
      </c>
      <c r="C69" s="149">
        <v>50.7</v>
      </c>
      <c r="D69" s="154">
        <f t="shared" ref="D69:D88" si="4">C69/(SUM(C$69:C$88))</f>
        <v>0.50954773869346748</v>
      </c>
      <c r="E69" s="158">
        <f>D69</f>
        <v>0.50954773869346748</v>
      </c>
      <c r="F69" s="149">
        <v>0.47499999999999998</v>
      </c>
      <c r="G69" s="157">
        <f>F69</f>
        <v>0.47499999999999998</v>
      </c>
      <c r="H69" s="149">
        <v>46.6</v>
      </c>
      <c r="I69" s="149">
        <f>H69/100</f>
        <v>0.46600000000000003</v>
      </c>
      <c r="J69" s="149">
        <v>45.7</v>
      </c>
      <c r="K69" s="156">
        <f>J69/100</f>
        <v>0.45700000000000002</v>
      </c>
      <c r="L69" s="149">
        <v>51.9</v>
      </c>
      <c r="M69" s="156">
        <f>L69/100</f>
        <v>0.51900000000000002</v>
      </c>
      <c r="N69" s="156">
        <v>0.49199999999999999</v>
      </c>
      <c r="O69" s="198">
        <f>N69/SUM(N69:N90)</f>
        <v>0.499492385786802</v>
      </c>
      <c r="P69" s="152">
        <f>32/77*100</f>
        <v>41.558441558441558</v>
      </c>
      <c r="R69" s="152">
        <f>74/154*100</f>
        <v>48.051948051948052</v>
      </c>
      <c r="Y69" s="149">
        <v>53.1</v>
      </c>
      <c r="Z69" s="149">
        <f>Y69/100</f>
        <v>0.53100000000000003</v>
      </c>
      <c r="AA69" s="149">
        <v>62.6</v>
      </c>
      <c r="AB69" s="149">
        <f>AA69/100</f>
        <v>0.626</v>
      </c>
      <c r="AC69" s="152">
        <f>259/544*100</f>
        <v>47.610294117647058</v>
      </c>
      <c r="AD69" s="149">
        <f>AC69/100</f>
        <v>0.47610294117647056</v>
      </c>
      <c r="AE69" s="152">
        <f>5439/8977*100</f>
        <v>60.588169767182798</v>
      </c>
      <c r="AF69" s="149">
        <f>AE69/100</f>
        <v>0.60588169767182798</v>
      </c>
      <c r="AI69" s="187">
        <v>0.6</v>
      </c>
      <c r="AJ69" s="187">
        <f>AI69</f>
        <v>0.6</v>
      </c>
      <c r="AK69" s="187">
        <v>0.52</v>
      </c>
      <c r="AL69" s="187">
        <f>AK69</f>
        <v>0.52</v>
      </c>
    </row>
    <row r="70" spans="1:43" ht="13" x14ac:dyDescent="0.15">
      <c r="A70" s="233"/>
      <c r="B70" s="149">
        <v>18</v>
      </c>
      <c r="C70" s="149">
        <v>13.5</v>
      </c>
      <c r="D70" s="154">
        <f t="shared" si="4"/>
        <v>0.13567839195979903</v>
      </c>
      <c r="E70" s="158">
        <f>D70</f>
        <v>0.13567839195979903</v>
      </c>
      <c r="F70" s="149">
        <v>0.182</v>
      </c>
      <c r="G70" s="157">
        <f>F70</f>
        <v>0.182</v>
      </c>
      <c r="H70" s="149">
        <v>24.4</v>
      </c>
      <c r="I70" s="149">
        <f>H70/100</f>
        <v>0.24399999999999999</v>
      </c>
      <c r="J70" s="149">
        <v>19.5</v>
      </c>
      <c r="K70" s="156">
        <f>J70/100</f>
        <v>0.19500000000000001</v>
      </c>
      <c r="L70" s="149">
        <v>15.1</v>
      </c>
      <c r="M70" s="156">
        <f>L70/100</f>
        <v>0.151</v>
      </c>
      <c r="N70" s="156">
        <v>0.16200000000000001</v>
      </c>
      <c r="O70" s="198">
        <f>N70/SUM(N69:N90)</f>
        <v>0.16446700507614212</v>
      </c>
      <c r="P70" s="152">
        <f>18/77*100</f>
        <v>23.376623376623375</v>
      </c>
      <c r="R70" s="152">
        <f>22/154*100</f>
        <v>14.285714285714285</v>
      </c>
      <c r="Y70" s="149">
        <v>19.8</v>
      </c>
      <c r="Z70" s="149">
        <f>Y70/100</f>
        <v>0.19800000000000001</v>
      </c>
      <c r="AA70" s="149">
        <v>15.7</v>
      </c>
      <c r="AB70" s="149">
        <f>AA70/100</f>
        <v>0.157</v>
      </c>
      <c r="AC70" s="152">
        <f>123/544*100</f>
        <v>22.610294117647058</v>
      </c>
      <c r="AD70" s="149">
        <f>AC70/100</f>
        <v>0.22610294117647059</v>
      </c>
      <c r="AE70" s="152">
        <f>918/8977*100</f>
        <v>10.226133452155509</v>
      </c>
      <c r="AF70" s="149">
        <f>AE70/100</f>
        <v>0.10226133452155509</v>
      </c>
      <c r="AI70" s="187">
        <v>0.158</v>
      </c>
      <c r="AJ70" s="187">
        <f>AI70</f>
        <v>0.158</v>
      </c>
      <c r="AK70" s="187">
        <v>0.19</v>
      </c>
      <c r="AL70" s="187">
        <f>AK70</f>
        <v>0.19</v>
      </c>
    </row>
    <row r="71" spans="1:43" ht="13" x14ac:dyDescent="0.15">
      <c r="A71" s="233"/>
      <c r="B71" s="149">
        <v>31</v>
      </c>
      <c r="C71" s="149">
        <v>2.9</v>
      </c>
      <c r="D71" s="154">
        <f t="shared" si="4"/>
        <v>2.9145728643216084E-2</v>
      </c>
      <c r="E71" s="256">
        <f>SUM(D71:D75)</f>
        <v>0.19296482412060306</v>
      </c>
      <c r="F71" s="149">
        <v>1.7000000000000001E-2</v>
      </c>
      <c r="G71" s="252">
        <f>SUM(F71:F75)</f>
        <v>0.17699999999999999</v>
      </c>
      <c r="H71" s="149">
        <v>5.0999999999999996</v>
      </c>
      <c r="I71" s="232">
        <f>(SUM(H71:H75)/SUM(H71:H90))*(1-SUM(I69:I70))</f>
        <v>0.17699530516431927</v>
      </c>
      <c r="J71" s="149">
        <v>2.2000000000000002</v>
      </c>
      <c r="K71" s="242">
        <f>SUM(J71:J75)/100</f>
        <v>0.217</v>
      </c>
      <c r="L71" s="149">
        <v>3.8</v>
      </c>
      <c r="M71" s="242">
        <f>SUM(L71:L75)/100</f>
        <v>0.20799999999999996</v>
      </c>
      <c r="N71" s="156">
        <v>2.5999999999999999E-2</v>
      </c>
      <c r="O71" s="235">
        <f>SUM(N71:N75)/SUM(N69:N90)</f>
        <v>0.22842639593908629</v>
      </c>
      <c r="P71" s="152">
        <f>2/77*100</f>
        <v>2.5974025974025974</v>
      </c>
      <c r="R71" s="152">
        <f>5/154*100</f>
        <v>3.2467532467532463</v>
      </c>
      <c r="Y71" s="149">
        <v>2.6</v>
      </c>
      <c r="Z71" s="232">
        <f>SUM(Y71:Y75)/100</f>
        <v>0.21899999999999997</v>
      </c>
      <c r="AA71" s="149">
        <v>4</v>
      </c>
      <c r="AB71" s="232">
        <f>SUM(AA71:AA75)/100</f>
        <v>0.21700000000000003</v>
      </c>
      <c r="AC71" s="152">
        <f>10/544*100</f>
        <v>1.8382352941176472</v>
      </c>
      <c r="AD71" s="232">
        <f>SUM(AC71:AC75)/100</f>
        <v>0.16544117647058823</v>
      </c>
      <c r="AE71" s="152">
        <f>335/8977*100</f>
        <v>3.7317589395120865</v>
      </c>
      <c r="AF71" s="232">
        <f>SUM(AE71:AE75)/100</f>
        <v>0.1853625932939735</v>
      </c>
      <c r="AI71" s="187">
        <v>3.7999999999999999E-2</v>
      </c>
      <c r="AJ71" s="237">
        <f>SUM(AI71:AI75)/SUM(AI71:AI90) * (1-SUM(AJ69:AJ70))</f>
        <v>0.1722342342342342</v>
      </c>
      <c r="AK71" s="187">
        <v>0.03</v>
      </c>
      <c r="AL71" s="237">
        <f>SUM(AK71:AK75)/SUM(AK71:AK90) * (1-SUM(AL69:AL70))</f>
        <v>0.19617647058823534</v>
      </c>
    </row>
    <row r="72" spans="1:43" ht="13" x14ac:dyDescent="0.15">
      <c r="A72" s="233"/>
      <c r="B72" s="149">
        <v>33</v>
      </c>
      <c r="C72" s="149">
        <v>7.3</v>
      </c>
      <c r="D72" s="154">
        <f t="shared" si="4"/>
        <v>7.3366834170854281E-2</v>
      </c>
      <c r="E72" s="233"/>
      <c r="F72" s="149">
        <v>6.6000000000000003E-2</v>
      </c>
      <c r="G72" s="233"/>
      <c r="H72" s="149">
        <v>5.2</v>
      </c>
      <c r="I72" s="233"/>
      <c r="J72" s="149">
        <v>2.2000000000000002</v>
      </c>
      <c r="K72" s="233"/>
      <c r="L72" s="149">
        <v>5.7</v>
      </c>
      <c r="M72" s="233"/>
      <c r="N72" s="148">
        <v>4.1000000000000002E-2</v>
      </c>
      <c r="O72" s="236"/>
      <c r="P72" s="152">
        <f>8/77*100</f>
        <v>10.38961038961039</v>
      </c>
      <c r="R72" s="152">
        <f>8/154*100</f>
        <v>5.1948051948051948</v>
      </c>
      <c r="Y72" s="149">
        <v>3.6</v>
      </c>
      <c r="Z72" s="233"/>
      <c r="AA72" s="149">
        <v>4.5</v>
      </c>
      <c r="AB72" s="233"/>
      <c r="AC72" s="152">
        <f>8/544*100</f>
        <v>1.4705882352941175</v>
      </c>
      <c r="AD72" s="233"/>
      <c r="AE72" s="152">
        <f>345/8977*100</f>
        <v>3.8431547287512533</v>
      </c>
      <c r="AF72" s="233"/>
      <c r="AI72" s="187">
        <v>4.7E-2</v>
      </c>
      <c r="AJ72" s="238"/>
      <c r="AK72" s="187">
        <v>0.06</v>
      </c>
      <c r="AL72" s="238"/>
    </row>
    <row r="73" spans="1:43" ht="13" x14ac:dyDescent="0.15">
      <c r="A73" s="233"/>
      <c r="B73" s="149">
        <v>45</v>
      </c>
      <c r="C73" s="149">
        <v>5.6</v>
      </c>
      <c r="D73" s="154">
        <f t="shared" si="4"/>
        <v>5.6281407035175882E-2</v>
      </c>
      <c r="E73" s="233"/>
      <c r="F73" s="149">
        <v>7.6999999999999999E-2</v>
      </c>
      <c r="G73" s="233"/>
      <c r="H73" s="149">
        <v>15.5</v>
      </c>
      <c r="I73" s="233"/>
      <c r="J73" s="149">
        <v>15.1</v>
      </c>
      <c r="K73" s="233"/>
      <c r="L73" s="149">
        <v>4.7</v>
      </c>
      <c r="M73" s="233"/>
      <c r="N73" s="148">
        <v>9.6000000000000002E-2</v>
      </c>
      <c r="O73" s="236"/>
      <c r="P73" s="152">
        <f>13/77*100</f>
        <v>16.883116883116884</v>
      </c>
      <c r="R73" s="152">
        <f>9/154*100</f>
        <v>5.8441558441558437</v>
      </c>
      <c r="Y73" s="149">
        <v>11</v>
      </c>
      <c r="Z73" s="233"/>
      <c r="AA73" s="149">
        <v>5.3</v>
      </c>
      <c r="AB73" s="233"/>
      <c r="AC73" s="152">
        <f>54/544*100</f>
        <v>9.9264705882352935</v>
      </c>
      <c r="AD73" s="233"/>
      <c r="AE73" s="152">
        <f>528/8977*100</f>
        <v>5.8816976718280047</v>
      </c>
      <c r="AF73" s="233"/>
      <c r="AI73" s="187">
        <v>4.9000000000000002E-2</v>
      </c>
      <c r="AJ73" s="238"/>
      <c r="AK73" s="187">
        <v>0.08</v>
      </c>
      <c r="AL73" s="238"/>
    </row>
    <row r="74" spans="1:43" ht="13" x14ac:dyDescent="0.15">
      <c r="A74" s="233"/>
      <c r="B74" s="149">
        <v>52</v>
      </c>
      <c r="C74" s="149">
        <v>2.1</v>
      </c>
      <c r="D74" s="154">
        <f t="shared" si="4"/>
        <v>2.1105527638190957E-2</v>
      </c>
      <c r="E74" s="233"/>
      <c r="F74" s="149">
        <v>1.7000000000000001E-2</v>
      </c>
      <c r="G74" s="233"/>
      <c r="H74" s="149">
        <v>5.0999999999999996</v>
      </c>
      <c r="I74" s="233"/>
      <c r="J74" s="149">
        <v>2.2000000000000002</v>
      </c>
      <c r="K74" s="233"/>
      <c r="L74" s="149">
        <v>4.7</v>
      </c>
      <c r="M74" s="233"/>
      <c r="N74" s="148">
        <v>3.5999999999999997E-2</v>
      </c>
      <c r="O74" s="236"/>
      <c r="P74" s="152">
        <f>2/77*100</f>
        <v>2.5974025974025974</v>
      </c>
      <c r="R74" s="152">
        <f>8/154*100</f>
        <v>5.1948051948051948</v>
      </c>
      <c r="Y74" s="149">
        <v>3.4</v>
      </c>
      <c r="Z74" s="233"/>
      <c r="AA74" s="149">
        <v>3.5</v>
      </c>
      <c r="AB74" s="233"/>
      <c r="AC74" s="152">
        <f>14/544*100</f>
        <v>2.5735294117647056</v>
      </c>
      <c r="AD74" s="233"/>
      <c r="AE74" s="152">
        <f>253/8977*100</f>
        <v>2.8183134677509192</v>
      </c>
      <c r="AF74" s="233"/>
      <c r="AI74" s="187">
        <v>4.2000000000000003E-2</v>
      </c>
      <c r="AJ74" s="238"/>
      <c r="AK74" s="187">
        <v>0.04</v>
      </c>
      <c r="AL74" s="238"/>
    </row>
    <row r="75" spans="1:43" ht="13" x14ac:dyDescent="0.15">
      <c r="A75" s="233"/>
      <c r="B75" s="149">
        <v>58</v>
      </c>
      <c r="C75" s="149">
        <v>1.3</v>
      </c>
      <c r="D75" s="154">
        <f t="shared" si="4"/>
        <v>1.3065326633165831E-2</v>
      </c>
      <c r="E75" s="233"/>
      <c r="F75" s="149">
        <v>0</v>
      </c>
      <c r="G75" s="233"/>
      <c r="H75" s="149">
        <v>8.1</v>
      </c>
      <c r="I75" s="233"/>
      <c r="J75" s="149">
        <v>0</v>
      </c>
      <c r="K75" s="233"/>
      <c r="L75" s="149">
        <v>1.9</v>
      </c>
      <c r="M75" s="233"/>
      <c r="N75" s="148">
        <v>2.5999999999999999E-2</v>
      </c>
      <c r="O75" s="236"/>
      <c r="P75" s="152">
        <f>8/77*100</f>
        <v>10.38961038961039</v>
      </c>
      <c r="R75" s="152">
        <f>5/154*100</f>
        <v>3.2467532467532463</v>
      </c>
      <c r="Y75" s="149">
        <v>1.3</v>
      </c>
      <c r="Z75" s="233"/>
      <c r="AA75" s="149">
        <v>4.4000000000000004</v>
      </c>
      <c r="AB75" s="233"/>
      <c r="AC75" s="152">
        <f>4/544*100</f>
        <v>0.73529411764705876</v>
      </c>
      <c r="AD75" s="233"/>
      <c r="AE75" s="152">
        <f>203/8977*100</f>
        <v>2.2613345215550851</v>
      </c>
      <c r="AF75" s="233"/>
      <c r="AI75" s="187">
        <v>6.0999999999999999E-2</v>
      </c>
      <c r="AJ75" s="238"/>
      <c r="AK75" s="187">
        <v>0.02</v>
      </c>
      <c r="AL75" s="238"/>
    </row>
    <row r="76" spans="1:43" ht="15" x14ac:dyDescent="0.2">
      <c r="A76" s="252" t="s">
        <v>302</v>
      </c>
      <c r="B76" s="149">
        <v>26</v>
      </c>
      <c r="C76" s="155">
        <v>0.5</v>
      </c>
      <c r="D76" s="154">
        <f t="shared" si="4"/>
        <v>5.0251256281407045E-3</v>
      </c>
      <c r="E76" s="256">
        <f>SUM(D76:D88)</f>
        <v>0.16180904522613065</v>
      </c>
      <c r="G76" s="252">
        <f>SUM(F77:F89)</f>
        <v>0.16700000000000001</v>
      </c>
      <c r="I76" s="232">
        <f>(SUM(H76:H90)/SUM(H71:H90))*(1-SUM(I69:I70))</f>
        <v>0.11300469483568076</v>
      </c>
      <c r="K76" s="242">
        <f>SUM(J76:J89)/100</f>
        <v>0.10899999999999999</v>
      </c>
      <c r="M76" s="242">
        <f>SUM(L76:L89)/100</f>
        <v>0.12200000000000001</v>
      </c>
      <c r="N76" s="156"/>
      <c r="O76" s="235">
        <f>SUM(N76:N90)/SUM(N69:N90)</f>
        <v>0.10761421319796954</v>
      </c>
      <c r="P76" s="152"/>
      <c r="Q76" s="197"/>
      <c r="R76" s="152"/>
      <c r="S76" s="197"/>
      <c r="Z76" s="232">
        <f>1-SUM(Z69:Z75)</f>
        <v>5.1999999999999935E-2</v>
      </c>
      <c r="AB76" s="232">
        <f>1-SUM(AB69:AB75)</f>
        <v>0</v>
      </c>
      <c r="AC76" s="152"/>
      <c r="AD76" s="232">
        <f>1-SUM(AD69:AD75)</f>
        <v>0.13235294117647067</v>
      </c>
      <c r="AE76" s="152">
        <f>31/8977*100</f>
        <v>0.34532694664141694</v>
      </c>
      <c r="AF76" s="232">
        <f>1-SUM(AF69:AF75)</f>
        <v>0.10649437451264343</v>
      </c>
      <c r="AJ76" s="237">
        <f>SUM(AI76:AI90)/SUM(AI71:AI90) * (1-SUM(AJ69:AJ70))</f>
        <v>6.9765765765765764E-2</v>
      </c>
      <c r="AL76" s="237">
        <f>SUM(AK76:AK90)/SUM(AK71:AK90) * (1-SUM(AL69:AL70))</f>
        <v>9.3823529411764722E-2</v>
      </c>
    </row>
    <row r="77" spans="1:43" ht="13" x14ac:dyDescent="0.15">
      <c r="A77" s="233"/>
      <c r="B77" s="149">
        <v>35</v>
      </c>
      <c r="C77" s="149">
        <v>6</v>
      </c>
      <c r="D77" s="154">
        <f t="shared" si="4"/>
        <v>6.0301507537688454E-2</v>
      </c>
      <c r="E77" s="233"/>
      <c r="F77" s="149">
        <v>9.9000000000000005E-2</v>
      </c>
      <c r="G77" s="233"/>
      <c r="H77" s="149">
        <v>7.7</v>
      </c>
      <c r="I77" s="233"/>
      <c r="J77" s="149">
        <v>6.5</v>
      </c>
      <c r="K77" s="242"/>
      <c r="L77" s="149">
        <v>9.5</v>
      </c>
      <c r="M77" s="242"/>
      <c r="N77" s="148">
        <v>9.0999999999999998E-2</v>
      </c>
      <c r="O77" s="236"/>
      <c r="P77" s="152">
        <f>7/77*100</f>
        <v>9.0909090909090917</v>
      </c>
      <c r="R77" s="152">
        <f>12/154*100</f>
        <v>7.7922077922077921</v>
      </c>
      <c r="Y77" s="149">
        <v>4.9000000000000004</v>
      </c>
      <c r="Z77" s="233"/>
      <c r="AA77" s="149">
        <v>1.7</v>
      </c>
      <c r="AB77" s="233"/>
      <c r="AC77" s="152">
        <f>27/544*100</f>
        <v>4.9632352941176467</v>
      </c>
      <c r="AD77" s="233"/>
      <c r="AE77" s="152">
        <f>175/8977*100</f>
        <v>1.9494263116854185</v>
      </c>
      <c r="AF77" s="233"/>
      <c r="AI77" s="187">
        <v>1.6E-2</v>
      </c>
      <c r="AJ77" s="238"/>
      <c r="AK77" s="187">
        <v>0.05</v>
      </c>
      <c r="AL77" s="238"/>
    </row>
    <row r="78" spans="1:43" ht="15" x14ac:dyDescent="0.2">
      <c r="A78" s="233"/>
      <c r="B78" s="149">
        <v>39</v>
      </c>
      <c r="C78" s="155">
        <v>0.5</v>
      </c>
      <c r="D78" s="154">
        <f t="shared" si="4"/>
        <v>5.0251256281407045E-3</v>
      </c>
      <c r="E78" s="233"/>
      <c r="G78" s="233"/>
      <c r="H78" s="149">
        <v>3.3</v>
      </c>
      <c r="I78" s="233"/>
      <c r="K78" s="242"/>
      <c r="M78" s="242"/>
      <c r="O78" s="236"/>
      <c r="P78" s="152">
        <f>1/77*100</f>
        <v>1.2987012987012987</v>
      </c>
      <c r="R78" s="152">
        <f>1/154*100</f>
        <v>0.64935064935064934</v>
      </c>
      <c r="Z78" s="233"/>
      <c r="AA78" s="149">
        <v>1.4</v>
      </c>
      <c r="AB78" s="233"/>
      <c r="AC78" s="152">
        <f>3/544*100</f>
        <v>0.55147058823529416</v>
      </c>
      <c r="AD78" s="233"/>
      <c r="AE78" s="152">
        <f>143/8977*100</f>
        <v>1.5929597861200846</v>
      </c>
      <c r="AF78" s="233"/>
      <c r="AI78" s="187">
        <v>1.6E-2</v>
      </c>
      <c r="AJ78" s="238"/>
      <c r="AL78" s="238"/>
    </row>
    <row r="79" spans="1:43" ht="13" x14ac:dyDescent="0.15">
      <c r="A79" s="233"/>
      <c r="B79" s="149">
        <v>51</v>
      </c>
      <c r="C79" s="155">
        <v>1</v>
      </c>
      <c r="D79" s="154">
        <f t="shared" si="4"/>
        <v>1.0050251256281409E-2</v>
      </c>
      <c r="E79" s="233"/>
      <c r="F79" s="149"/>
      <c r="G79" s="233"/>
      <c r="H79" s="149">
        <v>4.8</v>
      </c>
      <c r="I79" s="233"/>
      <c r="J79" s="149">
        <v>2.2000000000000002</v>
      </c>
      <c r="K79" s="242"/>
      <c r="L79" s="149">
        <v>0</v>
      </c>
      <c r="M79" s="242"/>
      <c r="N79" s="148">
        <v>5.0000000000000001E-3</v>
      </c>
      <c r="O79" s="236"/>
      <c r="P79" s="152">
        <f>2/77*100</f>
        <v>2.5974025974025974</v>
      </c>
      <c r="R79" s="152">
        <f>4/154*100</f>
        <v>2.5974025974025974</v>
      </c>
      <c r="Z79" s="233"/>
      <c r="AA79" s="149">
        <v>1.1000000000000001</v>
      </c>
      <c r="AB79" s="233"/>
      <c r="AC79" s="152">
        <f>13/544*100</f>
        <v>2.3897058823529411</v>
      </c>
      <c r="AD79" s="233"/>
      <c r="AE79" s="152">
        <f>114/8977*100</f>
        <v>1.269911997326501</v>
      </c>
      <c r="AF79" s="233"/>
      <c r="AI79" s="187">
        <v>1.2E-2</v>
      </c>
      <c r="AJ79" s="238"/>
      <c r="AK79" s="187">
        <v>0.04</v>
      </c>
      <c r="AL79" s="238"/>
    </row>
    <row r="80" spans="1:43" ht="15" x14ac:dyDescent="0.2">
      <c r="A80" s="233"/>
      <c r="B80" s="149">
        <v>53</v>
      </c>
      <c r="C80" s="149">
        <v>1.6</v>
      </c>
      <c r="D80" s="154">
        <f t="shared" si="4"/>
        <v>1.6080402010050253E-2</v>
      </c>
      <c r="E80" s="233"/>
      <c r="F80" s="149"/>
      <c r="G80" s="233"/>
      <c r="I80" s="233"/>
      <c r="K80" s="242"/>
      <c r="M80" s="242"/>
      <c r="O80" s="236"/>
      <c r="P80" s="152"/>
      <c r="R80" s="152"/>
      <c r="Z80" s="233"/>
      <c r="AB80" s="233"/>
      <c r="AC80" s="152"/>
      <c r="AD80" s="233"/>
      <c r="AE80" s="152">
        <f>24/8977*100</f>
        <v>0.26734989417400024</v>
      </c>
      <c r="AF80" s="233"/>
      <c r="AI80" s="187">
        <v>7.0000000000000001E-3</v>
      </c>
      <c r="AJ80" s="238"/>
      <c r="AL80" s="238"/>
    </row>
    <row r="81" spans="1:38" ht="15" x14ac:dyDescent="0.2">
      <c r="A81" s="233"/>
      <c r="B81" s="149">
        <v>56</v>
      </c>
      <c r="C81" s="155">
        <v>0.7</v>
      </c>
      <c r="D81" s="154">
        <f t="shared" si="4"/>
        <v>7.0351758793969852E-3</v>
      </c>
      <c r="E81" s="233"/>
      <c r="F81" s="149"/>
      <c r="G81" s="233"/>
      <c r="H81" s="149">
        <v>3</v>
      </c>
      <c r="I81" s="233"/>
      <c r="J81" s="149">
        <v>0</v>
      </c>
      <c r="K81" s="242"/>
      <c r="L81" s="149">
        <v>0.9</v>
      </c>
      <c r="M81" s="242"/>
      <c r="N81" s="148">
        <v>5.0000000000000001E-3</v>
      </c>
      <c r="O81" s="236"/>
      <c r="P81" s="152">
        <v>0</v>
      </c>
      <c r="R81" s="152">
        <f>1/154*100</f>
        <v>0.64935064935064934</v>
      </c>
      <c r="Z81" s="233"/>
      <c r="AA81" s="149">
        <v>0.9</v>
      </c>
      <c r="AB81" s="233"/>
      <c r="AC81" s="152">
        <f>4/544*100</f>
        <v>0.73529411764705876</v>
      </c>
      <c r="AD81" s="233"/>
      <c r="AE81" s="152">
        <f>75/8977*100</f>
        <v>0.83546841929375071</v>
      </c>
      <c r="AF81" s="233"/>
      <c r="AI81" s="187">
        <v>8.0000000000000002E-3</v>
      </c>
      <c r="AJ81" s="238"/>
      <c r="AL81" s="238"/>
    </row>
    <row r="82" spans="1:38" ht="15" x14ac:dyDescent="0.2">
      <c r="A82" s="233"/>
      <c r="B82" s="149">
        <v>59</v>
      </c>
      <c r="C82" s="155">
        <v>0.5</v>
      </c>
      <c r="D82" s="154">
        <f t="shared" si="4"/>
        <v>5.0251256281407045E-3</v>
      </c>
      <c r="E82" s="233"/>
      <c r="F82" s="149"/>
      <c r="G82" s="233"/>
      <c r="H82" s="149">
        <v>3</v>
      </c>
      <c r="I82" s="233"/>
      <c r="K82" s="242"/>
      <c r="M82" s="242"/>
      <c r="O82" s="236"/>
      <c r="P82" s="152">
        <f>1/77*100</f>
        <v>1.2987012987012987</v>
      </c>
      <c r="R82" s="152">
        <v>0</v>
      </c>
      <c r="Z82" s="233"/>
      <c r="AA82" s="149">
        <v>1.3</v>
      </c>
      <c r="AB82" s="233"/>
      <c r="AC82" s="152">
        <f>1/544*100</f>
        <v>0.18382352941176469</v>
      </c>
      <c r="AD82" s="233"/>
      <c r="AE82" s="152">
        <f>95/8977*100</f>
        <v>1.0582599977720841</v>
      </c>
      <c r="AF82" s="233"/>
      <c r="AI82" s="187">
        <v>1.4E-2</v>
      </c>
      <c r="AJ82" s="238"/>
      <c r="AL82" s="238"/>
    </row>
    <row r="83" spans="1:38" ht="15" x14ac:dyDescent="0.2">
      <c r="A83" s="233"/>
      <c r="B83" s="149">
        <v>66</v>
      </c>
      <c r="C83" s="155">
        <v>0.5</v>
      </c>
      <c r="D83" s="154">
        <f t="shared" si="4"/>
        <v>5.0251256281407045E-3</v>
      </c>
      <c r="E83" s="233"/>
      <c r="F83" s="149"/>
      <c r="G83" s="233"/>
      <c r="I83" s="233"/>
      <c r="K83" s="242"/>
      <c r="M83" s="242"/>
      <c r="O83" s="236"/>
      <c r="P83" s="152"/>
      <c r="R83" s="152"/>
      <c r="Z83" s="233"/>
      <c r="AB83" s="233"/>
      <c r="AC83" s="152">
        <f>2/544*100</f>
        <v>0.36764705882352938</v>
      </c>
      <c r="AD83" s="233"/>
      <c r="AE83" s="152">
        <f>7/8977*100</f>
        <v>7.7977052467416735E-2</v>
      </c>
      <c r="AF83" s="233"/>
      <c r="AI83" s="187">
        <v>5.0000000000000001E-3</v>
      </c>
      <c r="AJ83" s="238"/>
      <c r="AL83" s="238"/>
    </row>
    <row r="84" spans="1:38" ht="13" x14ac:dyDescent="0.15">
      <c r="A84" s="233"/>
      <c r="B84" s="149">
        <v>68</v>
      </c>
      <c r="C84" s="149">
        <v>1</v>
      </c>
      <c r="D84" s="154">
        <f t="shared" si="4"/>
        <v>1.0050251256281409E-2</v>
      </c>
      <c r="E84" s="233"/>
      <c r="F84" s="149">
        <v>2.8000000000000001E-2</v>
      </c>
      <c r="G84" s="233"/>
      <c r="H84" s="149">
        <v>3.1</v>
      </c>
      <c r="I84" s="233"/>
      <c r="K84" s="242"/>
      <c r="M84" s="242"/>
      <c r="O84" s="236"/>
      <c r="P84" s="152">
        <v>0</v>
      </c>
      <c r="R84" s="152">
        <f>2/154*100</f>
        <v>1.2987012987012987</v>
      </c>
      <c r="Z84" s="233"/>
      <c r="AA84" s="149">
        <v>0.6</v>
      </c>
      <c r="AB84" s="233"/>
      <c r="AC84" s="152">
        <f>1/544*100</f>
        <v>0.18382352941176469</v>
      </c>
      <c r="AD84" s="233"/>
      <c r="AE84" s="152">
        <f>59/8977*100</f>
        <v>0.65723515651108388</v>
      </c>
      <c r="AF84" s="233"/>
      <c r="AI84" s="187">
        <v>6.0000000000000001E-3</v>
      </c>
      <c r="AJ84" s="238"/>
      <c r="AK84" s="187">
        <v>0.02</v>
      </c>
      <c r="AL84" s="238"/>
    </row>
    <row r="85" spans="1:38" ht="15" x14ac:dyDescent="0.2">
      <c r="A85" s="233"/>
      <c r="B85" s="149">
        <v>69</v>
      </c>
      <c r="C85" s="155">
        <v>1.5</v>
      </c>
      <c r="D85" s="154">
        <f t="shared" si="4"/>
        <v>1.5075376884422113E-2</v>
      </c>
      <c r="E85" s="233"/>
      <c r="F85" s="149"/>
      <c r="G85" s="233"/>
      <c r="I85" s="233"/>
      <c r="J85" s="149">
        <v>0</v>
      </c>
      <c r="K85" s="242"/>
      <c r="L85" s="149">
        <v>0.9</v>
      </c>
      <c r="M85" s="242"/>
      <c r="O85" s="236"/>
      <c r="P85" s="152"/>
      <c r="R85" s="152"/>
      <c r="Z85" s="233"/>
      <c r="AB85" s="233"/>
      <c r="AC85" s="152">
        <f>1/544*100</f>
        <v>0.18382352941176469</v>
      </c>
      <c r="AD85" s="233"/>
      <c r="AE85" s="152">
        <f>7/8977*100</f>
        <v>7.7977052467416735E-2</v>
      </c>
      <c r="AF85" s="233"/>
      <c r="AJ85" s="238"/>
      <c r="AL85" s="238"/>
    </row>
    <row r="86" spans="1:38" ht="15" x14ac:dyDescent="0.2">
      <c r="A86" s="233"/>
      <c r="B86" s="149">
        <v>70</v>
      </c>
      <c r="C86" s="155">
        <v>0.8</v>
      </c>
      <c r="D86" s="154">
        <f t="shared" si="4"/>
        <v>8.0402010050251264E-3</v>
      </c>
      <c r="E86" s="233"/>
      <c r="F86" s="149"/>
      <c r="G86" s="233"/>
      <c r="I86" s="233"/>
      <c r="J86" s="149">
        <v>0</v>
      </c>
      <c r="K86" s="242"/>
      <c r="L86" s="149">
        <v>0.9</v>
      </c>
      <c r="M86" s="242"/>
      <c r="O86" s="236"/>
      <c r="P86" s="152"/>
      <c r="R86" s="152"/>
      <c r="Z86" s="233"/>
      <c r="AB86" s="233"/>
      <c r="AC86" s="152"/>
      <c r="AD86" s="233"/>
      <c r="AE86" s="152">
        <f>9/8977*100</f>
        <v>0.10025621031525009</v>
      </c>
      <c r="AF86" s="233"/>
      <c r="AI86" s="187">
        <v>4.0000000000000001E-3</v>
      </c>
      <c r="AJ86" s="238"/>
      <c r="AL86" s="238"/>
    </row>
    <row r="87" spans="1:38" ht="15" x14ac:dyDescent="0.2">
      <c r="A87" s="233"/>
      <c r="B87" s="149">
        <v>73</v>
      </c>
      <c r="C87" s="155">
        <v>0.5</v>
      </c>
      <c r="D87" s="154">
        <f t="shared" si="4"/>
        <v>5.0251256281407045E-3</v>
      </c>
      <c r="E87" s="233"/>
      <c r="F87" s="149">
        <v>1.0999999999999999E-2</v>
      </c>
      <c r="G87" s="233"/>
      <c r="I87" s="233"/>
      <c r="J87" s="149">
        <v>2.2000000000000002</v>
      </c>
      <c r="K87" s="242"/>
      <c r="L87" s="149">
        <v>0</v>
      </c>
      <c r="M87" s="242"/>
      <c r="N87" s="148">
        <v>5.0000000000000001E-3</v>
      </c>
      <c r="O87" s="236"/>
      <c r="P87" s="152">
        <f>1/77*100</f>
        <v>1.2987012987012987</v>
      </c>
      <c r="R87" s="152">
        <f>1/154*100</f>
        <v>0.64935064935064934</v>
      </c>
      <c r="Z87" s="233"/>
      <c r="AB87" s="233"/>
      <c r="AC87" s="152">
        <f>1/544*100</f>
        <v>0.18382352941176469</v>
      </c>
      <c r="AD87" s="233"/>
      <c r="AE87" s="152">
        <f>43/8977*100</f>
        <v>0.47900189372841706</v>
      </c>
      <c r="AF87" s="233"/>
      <c r="AI87" s="187">
        <v>5.0000000000000001E-3</v>
      </c>
      <c r="AJ87" s="238"/>
      <c r="AL87" s="238"/>
    </row>
    <row r="88" spans="1:38" ht="15" x14ac:dyDescent="0.2">
      <c r="A88" s="233"/>
      <c r="B88" s="149">
        <v>82</v>
      </c>
      <c r="C88" s="155">
        <v>1</v>
      </c>
      <c r="D88" s="154">
        <f t="shared" si="4"/>
        <v>1.0050251256281409E-2</v>
      </c>
      <c r="E88" s="233"/>
      <c r="F88" s="149"/>
      <c r="G88" s="233"/>
      <c r="I88" s="233"/>
      <c r="J88" s="149">
        <v>0</v>
      </c>
      <c r="K88" s="242"/>
      <c r="L88" s="149">
        <v>0</v>
      </c>
      <c r="M88" s="242"/>
      <c r="O88" s="236"/>
      <c r="P88" s="152">
        <f>1/77*100</f>
        <v>1.2987012987012987</v>
      </c>
      <c r="R88" s="152">
        <f>2/154*100</f>
        <v>1.2987012987012987</v>
      </c>
      <c r="Z88" s="233"/>
      <c r="AB88" s="233"/>
      <c r="AC88" s="152"/>
      <c r="AD88" s="233"/>
      <c r="AE88" s="152">
        <f>6/8977*100</f>
        <v>6.6837473543500059E-2</v>
      </c>
      <c r="AF88" s="233"/>
      <c r="AJ88" s="238"/>
      <c r="AL88" s="238"/>
    </row>
    <row r="89" spans="1:38" ht="15" x14ac:dyDescent="0.2">
      <c r="A89" s="233"/>
      <c r="B89" s="149" t="s">
        <v>307</v>
      </c>
      <c r="C89" s="153"/>
      <c r="D89" s="153"/>
      <c r="E89" s="153"/>
      <c r="F89" s="149">
        <f>0.011 + 0.006 + 0.006 + 0.006</f>
        <v>2.8999999999999998E-2</v>
      </c>
      <c r="G89" s="233"/>
      <c r="I89" s="233"/>
      <c r="K89" s="242"/>
      <c r="M89" s="242"/>
      <c r="O89" s="236"/>
      <c r="P89" s="152"/>
      <c r="R89" s="152"/>
      <c r="Z89" s="233"/>
      <c r="AB89" s="233"/>
      <c r="AC89" s="152"/>
      <c r="AD89" s="233"/>
      <c r="AE89" s="152"/>
      <c r="AF89" s="233"/>
      <c r="AI89" s="187">
        <v>3.0000000000000001E-3</v>
      </c>
      <c r="AJ89" s="238"/>
      <c r="AL89" s="238"/>
    </row>
    <row r="90" spans="1:38" ht="15" x14ac:dyDescent="0.2">
      <c r="A90" s="149"/>
      <c r="B90" s="149" t="s">
        <v>308</v>
      </c>
      <c r="C90" s="149"/>
      <c r="D90" s="149"/>
      <c r="E90" s="149"/>
      <c r="F90" s="149"/>
      <c r="G90" s="149"/>
      <c r="H90" s="149"/>
      <c r="I90" s="233"/>
      <c r="J90" s="152">
        <f>1/46*100</f>
        <v>2.1739130434782608</v>
      </c>
      <c r="L90" s="152">
        <f>2/106*100</f>
        <v>1.8867924528301887</v>
      </c>
      <c r="O90" s="236"/>
      <c r="P90" s="152">
        <f>32/77*100</f>
        <v>41.558441558441558</v>
      </c>
      <c r="R90" s="152">
        <f>36/154*100</f>
        <v>23.376623376623375</v>
      </c>
      <c r="S90" s="149"/>
      <c r="Z90" s="233"/>
      <c r="AB90" s="233"/>
      <c r="AC90" s="152">
        <f>15/544*100</f>
        <v>2.7573529411764706</v>
      </c>
      <c r="AD90" s="233"/>
      <c r="AE90" s="152">
        <f>143/8977*100</f>
        <v>1.5929597861200846</v>
      </c>
      <c r="AF90" s="233"/>
      <c r="AJ90" s="238"/>
      <c r="AL90" s="238"/>
    </row>
    <row r="91" spans="1:38" s="186" customFormat="1" ht="13" x14ac:dyDescent="0.15">
      <c r="A91" s="195" t="s">
        <v>309</v>
      </c>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c r="AH91" s="195"/>
      <c r="AI91" s="194"/>
      <c r="AJ91" s="194"/>
      <c r="AK91" s="194"/>
      <c r="AL91" s="194"/>
    </row>
    <row r="92" spans="1:38" ht="15" x14ac:dyDescent="0.2">
      <c r="A92" s="252" t="s">
        <v>304</v>
      </c>
      <c r="B92" s="149">
        <v>16</v>
      </c>
      <c r="H92" s="149">
        <v>18.3</v>
      </c>
      <c r="I92" s="149">
        <f>H92/100</f>
        <v>0.183</v>
      </c>
      <c r="AA92" s="149">
        <v>27.6</v>
      </c>
      <c r="AB92" s="149">
        <f>AA92/100</f>
        <v>0.27600000000000002</v>
      </c>
    </row>
    <row r="93" spans="1:38" ht="15" x14ac:dyDescent="0.2">
      <c r="A93" s="233"/>
      <c r="B93" s="149">
        <v>18</v>
      </c>
      <c r="H93" s="149">
        <v>10.7</v>
      </c>
      <c r="I93" s="149">
        <f>H93/100</f>
        <v>0.107</v>
      </c>
      <c r="AA93" s="149">
        <v>9</v>
      </c>
      <c r="AB93" s="149">
        <f>AA93/100</f>
        <v>0.09</v>
      </c>
    </row>
    <row r="94" spans="1:38" ht="15" x14ac:dyDescent="0.2">
      <c r="A94" s="233"/>
      <c r="B94" s="149">
        <v>31</v>
      </c>
      <c r="H94" s="149">
        <v>6.8</v>
      </c>
      <c r="I94" s="232">
        <f>(SUM(H94:H98)/SUM(H94:H112))*(1-SUM(I92:I93))</f>
        <v>0.3216134598792062</v>
      </c>
      <c r="AA94" s="149">
        <v>11.8</v>
      </c>
      <c r="AB94" s="232">
        <f>SUM(AA94:AA98)/100</f>
        <v>0.43799999999999994</v>
      </c>
    </row>
    <row r="95" spans="1:38" ht="15" x14ac:dyDescent="0.2">
      <c r="A95" s="233"/>
      <c r="B95" s="149">
        <v>33</v>
      </c>
      <c r="H95" s="149">
        <v>8.9</v>
      </c>
      <c r="I95" s="233"/>
      <c r="AA95" s="149">
        <v>6.1</v>
      </c>
      <c r="AB95" s="233"/>
    </row>
    <row r="96" spans="1:38" ht="15" x14ac:dyDescent="0.2">
      <c r="A96" s="233"/>
      <c r="B96" s="149">
        <v>45</v>
      </c>
      <c r="H96" s="149">
        <v>9.9</v>
      </c>
      <c r="I96" s="233"/>
      <c r="AA96" s="149">
        <v>4.2</v>
      </c>
      <c r="AB96" s="233"/>
    </row>
    <row r="97" spans="1:28" ht="15" x14ac:dyDescent="0.2">
      <c r="A97" s="233"/>
      <c r="B97" s="149">
        <v>52</v>
      </c>
      <c r="H97" s="149">
        <v>12.8</v>
      </c>
      <c r="I97" s="233"/>
      <c r="AA97" s="149">
        <v>13.8</v>
      </c>
      <c r="AB97" s="233"/>
    </row>
    <row r="98" spans="1:28" ht="15" x14ac:dyDescent="0.2">
      <c r="A98" s="233"/>
      <c r="B98" s="149">
        <v>58</v>
      </c>
      <c r="H98" s="149">
        <v>14.1</v>
      </c>
      <c r="I98" s="233"/>
      <c r="AA98" s="149">
        <v>7.9</v>
      </c>
      <c r="AB98" s="233"/>
    </row>
    <row r="99" spans="1:28" ht="15" x14ac:dyDescent="0.2">
      <c r="A99" s="252" t="s">
        <v>302</v>
      </c>
      <c r="B99" s="149">
        <v>26</v>
      </c>
      <c r="I99" s="232">
        <f>(SUM(H99:H112)/SUM(H94:H112))*(1-SUM(I92:I93))</f>
        <v>0.38838654012079366</v>
      </c>
      <c r="AB99" s="232">
        <f>1-SUM(AB92:AB98)</f>
        <v>0.19600000000000006</v>
      </c>
    </row>
    <row r="100" spans="1:28" ht="15" x14ac:dyDescent="0.2">
      <c r="A100" s="233"/>
      <c r="B100" s="149">
        <v>35</v>
      </c>
      <c r="H100" s="149">
        <v>16.2</v>
      </c>
      <c r="I100" s="233"/>
      <c r="AA100" s="149">
        <v>4.9000000000000004</v>
      </c>
      <c r="AB100" s="233"/>
    </row>
    <row r="101" spans="1:28" ht="15" x14ac:dyDescent="0.2">
      <c r="A101" s="233"/>
      <c r="B101" s="149">
        <v>39</v>
      </c>
      <c r="H101" s="149">
        <v>6.7</v>
      </c>
      <c r="I101" s="233"/>
      <c r="AA101" s="149">
        <v>6.8</v>
      </c>
      <c r="AB101" s="233"/>
    </row>
    <row r="102" spans="1:28" ht="15" x14ac:dyDescent="0.2">
      <c r="A102" s="233"/>
      <c r="B102" s="149">
        <v>51</v>
      </c>
      <c r="H102" s="149">
        <v>13.4</v>
      </c>
      <c r="I102" s="233"/>
      <c r="AA102" s="149">
        <v>10.8</v>
      </c>
      <c r="AB102" s="233"/>
    </row>
    <row r="103" spans="1:28" ht="15" x14ac:dyDescent="0.2">
      <c r="A103" s="233"/>
      <c r="B103" s="149">
        <v>53</v>
      </c>
      <c r="I103" s="233"/>
      <c r="AB103" s="233"/>
    </row>
    <row r="104" spans="1:28" ht="15" x14ac:dyDescent="0.2">
      <c r="A104" s="233"/>
      <c r="B104" s="149">
        <v>56</v>
      </c>
      <c r="H104" s="149">
        <v>10.7</v>
      </c>
      <c r="I104" s="233"/>
      <c r="AA104" s="149">
        <v>7.7</v>
      </c>
      <c r="AB104" s="233"/>
    </row>
    <row r="105" spans="1:28" ht="15" x14ac:dyDescent="0.2">
      <c r="A105" s="233"/>
      <c r="B105" s="149">
        <v>59</v>
      </c>
      <c r="H105" s="149">
        <v>6.5</v>
      </c>
      <c r="I105" s="233"/>
      <c r="AA105" s="149">
        <v>5.0999999999999996</v>
      </c>
      <c r="AB105" s="233"/>
    </row>
    <row r="106" spans="1:28" ht="15" x14ac:dyDescent="0.2">
      <c r="A106" s="233"/>
      <c r="B106" s="149">
        <v>66</v>
      </c>
      <c r="I106" s="233"/>
      <c r="AB106" s="233"/>
    </row>
    <row r="107" spans="1:28" ht="15" x14ac:dyDescent="0.2">
      <c r="A107" s="233"/>
      <c r="B107" s="149">
        <v>68</v>
      </c>
      <c r="H107" s="149">
        <v>9.9</v>
      </c>
      <c r="I107" s="233"/>
      <c r="AA107" s="149">
        <v>3.3</v>
      </c>
      <c r="AB107" s="233"/>
    </row>
    <row r="108" spans="1:28" ht="15" x14ac:dyDescent="0.2">
      <c r="A108" s="233"/>
      <c r="B108" s="149">
        <v>69</v>
      </c>
      <c r="I108" s="233"/>
      <c r="AB108" s="233"/>
    </row>
    <row r="109" spans="1:28" ht="15" x14ac:dyDescent="0.2">
      <c r="A109" s="233"/>
      <c r="B109" s="149">
        <v>70</v>
      </c>
      <c r="I109" s="233"/>
      <c r="AB109" s="233"/>
    </row>
    <row r="110" spans="1:28" ht="15" x14ac:dyDescent="0.2">
      <c r="A110" s="233"/>
      <c r="B110" s="149">
        <v>73</v>
      </c>
      <c r="I110" s="233"/>
      <c r="AB110" s="233"/>
    </row>
    <row r="111" spans="1:28" ht="15" x14ac:dyDescent="0.2">
      <c r="A111" s="233"/>
      <c r="B111" s="149">
        <v>82</v>
      </c>
      <c r="I111" s="233"/>
      <c r="AB111" s="233"/>
    </row>
    <row r="112" spans="1:28" ht="15" x14ac:dyDescent="0.2">
      <c r="A112" s="233"/>
      <c r="B112" s="149" t="s">
        <v>307</v>
      </c>
      <c r="I112" s="233"/>
      <c r="AB112" s="233"/>
    </row>
    <row r="113" spans="1:38" s="186" customFormat="1" ht="13" x14ac:dyDescent="0.15">
      <c r="A113" s="195" t="s">
        <v>310</v>
      </c>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c r="AA113" s="195"/>
      <c r="AB113" s="196"/>
      <c r="AC113" s="195"/>
      <c r="AD113" s="195"/>
      <c r="AE113" s="195"/>
      <c r="AF113" s="195"/>
      <c r="AG113" s="195"/>
      <c r="AH113" s="195"/>
      <c r="AI113" s="194"/>
      <c r="AJ113" s="194"/>
      <c r="AK113" s="194"/>
      <c r="AL113" s="194"/>
    </row>
    <row r="114" spans="1:38" ht="15" x14ac:dyDescent="0.2">
      <c r="A114" s="252" t="s">
        <v>304</v>
      </c>
      <c r="B114" s="149">
        <v>16</v>
      </c>
      <c r="H114" s="149">
        <v>23</v>
      </c>
      <c r="I114" s="149">
        <f>H114/100</f>
        <v>0.23</v>
      </c>
      <c r="AA114" s="149">
        <v>39.799999999999997</v>
      </c>
      <c r="AB114" s="149">
        <f>AA114/100</f>
        <v>0.39799999999999996</v>
      </c>
    </row>
    <row r="115" spans="1:38" ht="15" x14ac:dyDescent="0.2">
      <c r="A115" s="233"/>
      <c r="B115" s="149">
        <v>18</v>
      </c>
      <c r="H115" s="149">
        <v>14.7</v>
      </c>
      <c r="I115" s="149">
        <f>H115/100</f>
        <v>0.14699999999999999</v>
      </c>
      <c r="AA115" s="149">
        <v>10</v>
      </c>
      <c r="AB115" s="149">
        <f>AA115/100</f>
        <v>0.1</v>
      </c>
    </row>
    <row r="116" spans="1:38" ht="15" x14ac:dyDescent="0.2">
      <c r="A116" s="233"/>
      <c r="B116" s="149">
        <v>31</v>
      </c>
      <c r="H116" s="149">
        <v>16.100000000000001</v>
      </c>
      <c r="I116" s="232">
        <f>(SUM(H116:H120)/SUM(H116:H134))*(1-SUM(I114:I115))</f>
        <v>0.32012755102040802</v>
      </c>
      <c r="AA116" s="149">
        <v>11.6</v>
      </c>
      <c r="AB116" s="232">
        <f>SUM(AA116:AA120)/100</f>
        <v>0.53400000000000003</v>
      </c>
    </row>
    <row r="117" spans="1:38" ht="15" x14ac:dyDescent="0.2">
      <c r="A117" s="233"/>
      <c r="B117" s="149">
        <v>33</v>
      </c>
      <c r="H117" s="149">
        <v>12</v>
      </c>
      <c r="I117" s="233"/>
      <c r="AA117" s="149">
        <v>8.3000000000000007</v>
      </c>
      <c r="AB117" s="233"/>
    </row>
    <row r="118" spans="1:38" ht="15" x14ac:dyDescent="0.2">
      <c r="A118" s="233"/>
      <c r="B118" s="149">
        <v>45</v>
      </c>
      <c r="H118" s="149">
        <v>9.6999999999999993</v>
      </c>
      <c r="I118" s="233"/>
      <c r="AA118" s="149">
        <v>5</v>
      </c>
      <c r="AB118" s="233"/>
    </row>
    <row r="119" spans="1:38" ht="15" x14ac:dyDescent="0.2">
      <c r="A119" s="233"/>
      <c r="B119" s="149">
        <v>52</v>
      </c>
      <c r="H119" s="149">
        <v>10.6</v>
      </c>
      <c r="I119" s="233"/>
      <c r="AA119" s="149">
        <v>16.399999999999999</v>
      </c>
      <c r="AB119" s="233"/>
    </row>
    <row r="120" spans="1:38" ht="15" x14ac:dyDescent="0.2">
      <c r="A120" s="233"/>
      <c r="B120" s="149">
        <v>58</v>
      </c>
      <c r="H120" s="149">
        <v>22.1</v>
      </c>
      <c r="I120" s="233"/>
      <c r="AA120" s="149">
        <v>12.1</v>
      </c>
      <c r="AB120" s="233"/>
    </row>
    <row r="121" spans="1:38" ht="15" x14ac:dyDescent="0.2">
      <c r="A121" s="252" t="s">
        <v>302</v>
      </c>
      <c r="B121" s="149">
        <v>26</v>
      </c>
      <c r="I121" s="232">
        <f>(SUM(H121:H134)/SUM(H116:H134))*(1-SUM(I114:I115))</f>
        <v>0.3028724489795917</v>
      </c>
      <c r="AB121" s="232">
        <f>1-SUM(AB114:AB120)</f>
        <v>-3.2000000000000028E-2</v>
      </c>
    </row>
    <row r="122" spans="1:38" ht="15" x14ac:dyDescent="0.2">
      <c r="A122" s="233"/>
      <c r="B122" s="149">
        <v>35</v>
      </c>
      <c r="H122" s="149">
        <v>23.9</v>
      </c>
      <c r="I122" s="233"/>
      <c r="AA122" s="149">
        <v>4.9000000000000004</v>
      </c>
      <c r="AB122" s="233"/>
    </row>
    <row r="123" spans="1:38" ht="15" x14ac:dyDescent="0.2">
      <c r="A123" s="233"/>
      <c r="B123" s="149">
        <v>39</v>
      </c>
      <c r="H123" s="149">
        <v>5.4</v>
      </c>
      <c r="I123" s="233"/>
      <c r="AA123" s="149">
        <v>5.4</v>
      </c>
      <c r="AB123" s="233"/>
    </row>
    <row r="124" spans="1:38" ht="15" x14ac:dyDescent="0.2">
      <c r="A124" s="233"/>
      <c r="B124" s="149">
        <v>51</v>
      </c>
      <c r="H124" s="149">
        <v>12.9</v>
      </c>
      <c r="I124" s="233"/>
      <c r="AA124" s="149">
        <v>9.6999999999999993</v>
      </c>
      <c r="AB124" s="233"/>
    </row>
    <row r="125" spans="1:38" ht="15" x14ac:dyDescent="0.2">
      <c r="A125" s="233"/>
      <c r="B125" s="149">
        <v>53</v>
      </c>
      <c r="I125" s="233"/>
      <c r="AB125" s="233"/>
    </row>
    <row r="126" spans="1:38" ht="15" x14ac:dyDescent="0.2">
      <c r="A126" s="233"/>
      <c r="B126" s="149">
        <v>56</v>
      </c>
      <c r="H126" s="149">
        <v>9.1999999999999993</v>
      </c>
      <c r="I126" s="233"/>
      <c r="AA126" s="149">
        <v>4.3</v>
      </c>
      <c r="AB126" s="233"/>
    </row>
    <row r="127" spans="1:38" ht="15" x14ac:dyDescent="0.2">
      <c r="A127" s="233"/>
      <c r="B127" s="149">
        <v>59</v>
      </c>
      <c r="H127" s="149">
        <v>6.5</v>
      </c>
      <c r="I127" s="233"/>
      <c r="AA127" s="149">
        <v>4.7</v>
      </c>
      <c r="AB127" s="233"/>
    </row>
    <row r="128" spans="1:38" ht="15" x14ac:dyDescent="0.2">
      <c r="A128" s="233"/>
      <c r="B128" s="149">
        <v>66</v>
      </c>
      <c r="I128" s="233"/>
      <c r="AB128" s="233"/>
    </row>
    <row r="129" spans="1:38" ht="15" x14ac:dyDescent="0.2">
      <c r="A129" s="233"/>
      <c r="B129" s="149">
        <v>68</v>
      </c>
      <c r="H129" s="149">
        <v>8.8000000000000007</v>
      </c>
      <c r="I129" s="233"/>
      <c r="AA129" s="149">
        <v>2.9</v>
      </c>
      <c r="AB129" s="233"/>
    </row>
    <row r="130" spans="1:38" ht="15" x14ac:dyDescent="0.2">
      <c r="A130" s="233"/>
      <c r="B130" s="149">
        <v>69</v>
      </c>
      <c r="I130" s="233"/>
      <c r="AB130" s="233"/>
    </row>
    <row r="131" spans="1:38" ht="15" x14ac:dyDescent="0.2">
      <c r="A131" s="233"/>
      <c r="B131" s="149">
        <v>70</v>
      </c>
      <c r="I131" s="233"/>
      <c r="AB131" s="233"/>
    </row>
    <row r="132" spans="1:38" ht="15" x14ac:dyDescent="0.2">
      <c r="A132" s="233"/>
      <c r="B132" s="149">
        <v>73</v>
      </c>
      <c r="I132" s="233"/>
      <c r="AB132" s="233"/>
    </row>
    <row r="133" spans="1:38" ht="15" x14ac:dyDescent="0.2">
      <c r="A133" s="233"/>
      <c r="B133" s="149">
        <v>82</v>
      </c>
      <c r="I133" s="233"/>
      <c r="AB133" s="233"/>
    </row>
    <row r="134" spans="1:38" ht="15" x14ac:dyDescent="0.2">
      <c r="A134" s="233"/>
      <c r="B134" s="149" t="s">
        <v>307</v>
      </c>
      <c r="I134" s="233"/>
      <c r="AB134" s="233"/>
    </row>
    <row r="135" spans="1:38" s="186" customFormat="1" ht="13" x14ac:dyDescent="0.15">
      <c r="A135" s="195" t="s">
        <v>311</v>
      </c>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c r="AA135" s="195"/>
      <c r="AB135" s="195"/>
      <c r="AC135" s="195"/>
      <c r="AD135" s="195"/>
      <c r="AE135" s="195"/>
      <c r="AF135" s="195"/>
      <c r="AG135" s="195"/>
      <c r="AH135" s="195"/>
      <c r="AI135" s="194"/>
      <c r="AJ135" s="194"/>
      <c r="AK135" s="194"/>
      <c r="AL135" s="194"/>
    </row>
    <row r="136" spans="1:38" ht="15" x14ac:dyDescent="0.2">
      <c r="A136" s="252" t="s">
        <v>304</v>
      </c>
      <c r="B136" s="149">
        <v>16</v>
      </c>
      <c r="H136" s="149">
        <v>40.6</v>
      </c>
      <c r="I136" s="149">
        <f>H136/100</f>
        <v>0.40600000000000003</v>
      </c>
      <c r="AA136" s="149">
        <v>58.2</v>
      </c>
      <c r="AB136" s="149">
        <f>AA136/100</f>
        <v>0.58200000000000007</v>
      </c>
    </row>
    <row r="137" spans="1:38" ht="15" x14ac:dyDescent="0.2">
      <c r="A137" s="233"/>
      <c r="B137" s="149">
        <v>18</v>
      </c>
      <c r="H137" s="149">
        <v>13.1</v>
      </c>
      <c r="I137" s="149">
        <f>H137/100</f>
        <v>0.13100000000000001</v>
      </c>
      <c r="AA137" s="149">
        <v>7.4</v>
      </c>
      <c r="AB137" s="149">
        <f>AA137/100</f>
        <v>7.400000000000001E-2</v>
      </c>
    </row>
    <row r="138" spans="1:38" ht="15" x14ac:dyDescent="0.2">
      <c r="A138" s="233"/>
      <c r="B138" s="149">
        <v>31</v>
      </c>
      <c r="H138" s="149">
        <v>10.6</v>
      </c>
      <c r="I138" s="232">
        <f>(SUM(H138:H142)/SUM(H138:H156))*(1-SUM(I136:I137))</f>
        <v>0.23775675675675673</v>
      </c>
      <c r="AA138" s="149">
        <v>11.7</v>
      </c>
      <c r="AB138" s="232">
        <f>SUM(AA138:AA142)/100</f>
        <v>0.43599999999999994</v>
      </c>
    </row>
    <row r="139" spans="1:38" ht="15" x14ac:dyDescent="0.2">
      <c r="A139" s="233"/>
      <c r="B139" s="149">
        <v>33</v>
      </c>
      <c r="H139" s="149">
        <v>13.8</v>
      </c>
      <c r="I139" s="233"/>
      <c r="AA139" s="149">
        <v>9.1</v>
      </c>
      <c r="AB139" s="233"/>
    </row>
    <row r="140" spans="1:38" ht="15" x14ac:dyDescent="0.2">
      <c r="A140" s="233"/>
      <c r="B140" s="149">
        <v>45</v>
      </c>
      <c r="H140" s="149">
        <v>6.3</v>
      </c>
      <c r="I140" s="233"/>
      <c r="AA140" s="149">
        <v>3.6</v>
      </c>
      <c r="AB140" s="233"/>
    </row>
    <row r="141" spans="1:38" ht="15" x14ac:dyDescent="0.2">
      <c r="A141" s="233"/>
      <c r="B141" s="149">
        <v>52</v>
      </c>
      <c r="H141" s="149">
        <v>11.3</v>
      </c>
      <c r="I141" s="233"/>
      <c r="AA141" s="149">
        <v>10.199999999999999</v>
      </c>
      <c r="AB141" s="233"/>
    </row>
    <row r="142" spans="1:38" ht="15" x14ac:dyDescent="0.2">
      <c r="A142" s="233"/>
      <c r="B142" s="149">
        <v>58</v>
      </c>
      <c r="H142" s="149">
        <v>18.8</v>
      </c>
      <c r="I142" s="233"/>
      <c r="AA142" s="149">
        <v>9</v>
      </c>
      <c r="AB142" s="233"/>
    </row>
    <row r="143" spans="1:38" ht="15" x14ac:dyDescent="0.2">
      <c r="A143" s="252" t="s">
        <v>302</v>
      </c>
      <c r="B143" s="149">
        <v>26</v>
      </c>
      <c r="I143" s="232">
        <f>(SUM(H143:H156)/SUM(H138:H156))*(1-SUM(I136:I137))</f>
        <v>0.22524324324324321</v>
      </c>
      <c r="AB143" s="232">
        <f>1-SUM(AB136:AB142)</f>
        <v>-9.2000000000000082E-2</v>
      </c>
    </row>
    <row r="144" spans="1:38" ht="15" x14ac:dyDescent="0.2">
      <c r="A144" s="233"/>
      <c r="B144" s="149">
        <v>35</v>
      </c>
      <c r="H144" s="149">
        <v>23.2</v>
      </c>
      <c r="I144" s="233"/>
      <c r="AA144" s="149">
        <v>3.6</v>
      </c>
      <c r="AB144" s="233"/>
    </row>
    <row r="145" spans="1:28" ht="15" x14ac:dyDescent="0.2">
      <c r="A145" s="233"/>
      <c r="B145" s="149">
        <v>39</v>
      </c>
      <c r="H145" s="149">
        <v>5.6</v>
      </c>
      <c r="I145" s="233"/>
      <c r="AA145" s="149">
        <v>3.3</v>
      </c>
      <c r="AB145" s="233"/>
    </row>
    <row r="146" spans="1:28" ht="15" x14ac:dyDescent="0.2">
      <c r="A146" s="233"/>
      <c r="B146" s="149">
        <v>51</v>
      </c>
      <c r="H146" s="149">
        <v>6.9</v>
      </c>
      <c r="I146" s="233"/>
      <c r="AA146" s="149">
        <v>5.5</v>
      </c>
      <c r="AB146" s="233"/>
    </row>
    <row r="147" spans="1:28" ht="15" x14ac:dyDescent="0.2">
      <c r="A147" s="233"/>
      <c r="B147" s="149">
        <v>53</v>
      </c>
      <c r="I147" s="233"/>
      <c r="AB147" s="233"/>
    </row>
    <row r="148" spans="1:28" ht="15" x14ac:dyDescent="0.2">
      <c r="A148" s="233"/>
      <c r="B148" s="149">
        <v>56</v>
      </c>
      <c r="H148" s="149">
        <v>10.6</v>
      </c>
      <c r="I148" s="233"/>
      <c r="AA148" s="149">
        <v>2.5</v>
      </c>
      <c r="AB148" s="233"/>
    </row>
    <row r="149" spans="1:28" ht="15" x14ac:dyDescent="0.2">
      <c r="A149" s="233"/>
      <c r="B149" s="149">
        <v>59</v>
      </c>
      <c r="H149" s="149">
        <v>3.8</v>
      </c>
      <c r="I149" s="233"/>
      <c r="AA149" s="149">
        <v>2.2999999999999998</v>
      </c>
      <c r="AB149" s="233"/>
    </row>
    <row r="150" spans="1:28" ht="15" x14ac:dyDescent="0.2">
      <c r="A150" s="233"/>
      <c r="B150" s="149">
        <v>66</v>
      </c>
      <c r="I150" s="233"/>
      <c r="AB150" s="233"/>
    </row>
    <row r="151" spans="1:28" ht="15" x14ac:dyDescent="0.2">
      <c r="A151" s="233"/>
      <c r="B151" s="149">
        <v>68</v>
      </c>
      <c r="H151" s="149">
        <v>7.5</v>
      </c>
      <c r="I151" s="233"/>
      <c r="AA151" s="149">
        <v>2</v>
      </c>
      <c r="AB151" s="233"/>
    </row>
    <row r="152" spans="1:28" ht="15" x14ac:dyDescent="0.2">
      <c r="A152" s="233"/>
      <c r="B152" s="149">
        <v>69</v>
      </c>
      <c r="I152" s="233"/>
      <c r="AB152" s="233"/>
    </row>
    <row r="153" spans="1:28" ht="15" x14ac:dyDescent="0.2">
      <c r="A153" s="233"/>
      <c r="B153" s="149">
        <v>70</v>
      </c>
      <c r="I153" s="233"/>
      <c r="AB153" s="233"/>
    </row>
    <row r="154" spans="1:28" ht="15" x14ac:dyDescent="0.2">
      <c r="A154" s="233"/>
      <c r="B154" s="149">
        <v>73</v>
      </c>
      <c r="I154" s="233"/>
      <c r="AB154" s="233"/>
    </row>
    <row r="155" spans="1:28" ht="15" x14ac:dyDescent="0.2">
      <c r="A155" s="233"/>
      <c r="B155" s="149">
        <v>82</v>
      </c>
      <c r="I155" s="233"/>
      <c r="AB155" s="233"/>
    </row>
    <row r="156" spans="1:28" ht="15" x14ac:dyDescent="0.2">
      <c r="A156" s="233"/>
      <c r="B156" s="149" t="s">
        <v>307</v>
      </c>
      <c r="I156" s="233"/>
      <c r="AB156" s="233"/>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16:A26"/>
    <mergeCell ref="E16:E26"/>
    <mergeCell ref="I16:I26"/>
    <mergeCell ref="A11:A15"/>
    <mergeCell ref="E11:E15"/>
    <mergeCell ref="I11:I15"/>
    <mergeCell ref="C6:E6"/>
    <mergeCell ref="F6:G6"/>
    <mergeCell ref="H6:I6"/>
    <mergeCell ref="C1:E1"/>
    <mergeCell ref="F1:G1"/>
    <mergeCell ref="T1:X1"/>
    <mergeCell ref="Y1:AB1"/>
    <mergeCell ref="AC1:AF1"/>
    <mergeCell ref="T2:X2"/>
    <mergeCell ref="Y2:AB2"/>
    <mergeCell ref="AE3:AF3"/>
    <mergeCell ref="Y3:Z3"/>
    <mergeCell ref="C2:E2"/>
    <mergeCell ref="F2:G2"/>
    <mergeCell ref="H2:I2"/>
    <mergeCell ref="C3:E3"/>
    <mergeCell ref="F3:G3"/>
    <mergeCell ref="H3:I3"/>
    <mergeCell ref="C5:E5"/>
    <mergeCell ref="F5:G5"/>
    <mergeCell ref="H5:I5"/>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AG3:AH3"/>
    <mergeCell ref="AG1:AH1"/>
    <mergeCell ref="J5:K5"/>
    <mergeCell ref="L5:M5"/>
    <mergeCell ref="P5:Q5"/>
    <mergeCell ref="AB16:AB26"/>
    <mergeCell ref="Y6:AB6"/>
    <mergeCell ref="AC6:AF6"/>
    <mergeCell ref="P6:S6"/>
    <mergeCell ref="F4:G4"/>
    <mergeCell ref="H4:I4"/>
    <mergeCell ref="N5:O5"/>
    <mergeCell ref="J6:O6"/>
    <mergeCell ref="K76:K89"/>
    <mergeCell ref="M76:M89"/>
    <mergeCell ref="AB76:AB90"/>
    <mergeCell ref="AG6:AH6"/>
    <mergeCell ref="Z11:Z15"/>
    <mergeCell ref="AB11:AB15"/>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44"/>
  <sheetViews>
    <sheetView topLeftCell="B1" zoomScaleNormal="100" workbookViewId="0">
      <selection activeCell="F27" sqref="F27"/>
    </sheetView>
  </sheetViews>
  <sheetFormatPr baseColWidth="10" defaultColWidth="14.5" defaultRowHeight="15.75" customHeight="1" x14ac:dyDescent="0.15"/>
  <cols>
    <col min="1" max="18" width="14.5" style="148"/>
    <col min="19" max="19" width="44.33203125" style="148" customWidth="1"/>
    <col min="20" max="16384" width="14.5" style="148"/>
  </cols>
  <sheetData>
    <row r="1" spans="1:38" s="193" customFormat="1" ht="15.75" customHeight="1" x14ac:dyDescent="0.15">
      <c r="A1" s="193" t="s">
        <v>346</v>
      </c>
    </row>
    <row r="2" spans="1:38" ht="15" customHeight="1" x14ac:dyDescent="0.15">
      <c r="B2" s="177" t="s">
        <v>246</v>
      </c>
      <c r="C2" s="176" t="s">
        <v>247</v>
      </c>
      <c r="D2" s="175" t="s">
        <v>248</v>
      </c>
      <c r="E2" s="173" t="s">
        <v>249</v>
      </c>
      <c r="F2" s="173"/>
      <c r="G2" s="173"/>
      <c r="H2" s="172" t="s">
        <v>250</v>
      </c>
      <c r="I2" s="263" t="s">
        <v>251</v>
      </c>
      <c r="J2" s="263"/>
      <c r="K2" s="262" t="s">
        <v>252</v>
      </c>
      <c r="L2" s="262"/>
      <c r="M2" s="171" t="s">
        <v>253</v>
      </c>
      <c r="N2" s="261" t="s">
        <v>345</v>
      </c>
      <c r="O2" s="261"/>
      <c r="P2" s="192" t="s">
        <v>344</v>
      </c>
      <c r="Q2" s="259" t="s">
        <v>343</v>
      </c>
      <c r="R2" s="259"/>
      <c r="S2" s="191" t="s">
        <v>342</v>
      </c>
    </row>
    <row r="3" spans="1:38" ht="15" x14ac:dyDescent="0.2">
      <c r="A3" s="149" t="s">
        <v>254</v>
      </c>
      <c r="B3" s="148" t="s">
        <v>255</v>
      </c>
      <c r="C3" s="149" t="s">
        <v>256</v>
      </c>
      <c r="D3" s="149" t="s">
        <v>257</v>
      </c>
      <c r="E3" s="149" t="s">
        <v>258</v>
      </c>
      <c r="H3" s="149" t="s">
        <v>259</v>
      </c>
      <c r="I3" s="149" t="s">
        <v>260</v>
      </c>
      <c r="K3" s="149" t="s">
        <v>261</v>
      </c>
      <c r="M3" s="149" t="s">
        <v>262</v>
      </c>
      <c r="N3" s="187" t="s">
        <v>341</v>
      </c>
      <c r="O3"/>
      <c r="P3" s="148" t="s">
        <v>340</v>
      </c>
      <c r="Q3" s="148" t="s">
        <v>339</v>
      </c>
    </row>
    <row r="4" spans="1:38" ht="15" x14ac:dyDescent="0.2">
      <c r="A4" s="188" t="s">
        <v>338</v>
      </c>
      <c r="B4" s="190" t="s">
        <v>337</v>
      </c>
      <c r="C4" s="170" t="s">
        <v>336</v>
      </c>
      <c r="D4" s="188" t="s">
        <v>335</v>
      </c>
      <c r="E4" s="188" t="s">
        <v>334</v>
      </c>
      <c r="H4" s="188" t="s">
        <v>333</v>
      </c>
      <c r="I4" s="188" t="s">
        <v>332</v>
      </c>
      <c r="K4" s="188" t="s">
        <v>331</v>
      </c>
      <c r="M4" s="188" t="s">
        <v>330</v>
      </c>
      <c r="N4" s="189" t="s">
        <v>329</v>
      </c>
      <c r="P4" s="148" t="s">
        <v>328</v>
      </c>
      <c r="Q4" s="148" t="s">
        <v>327</v>
      </c>
      <c r="AA4" s="149"/>
      <c r="AE4" s="149"/>
      <c r="AJ4"/>
      <c r="AK4" s="187"/>
      <c r="AL4"/>
    </row>
    <row r="5" spans="1:38" ht="14" x14ac:dyDescent="0.15">
      <c r="A5" s="149" t="s">
        <v>263</v>
      </c>
      <c r="B5" s="170" t="s">
        <v>264</v>
      </c>
      <c r="C5" s="170" t="s">
        <v>264</v>
      </c>
      <c r="D5" s="149" t="s">
        <v>265</v>
      </c>
      <c r="E5" s="149" t="s">
        <v>264</v>
      </c>
      <c r="H5" s="149" t="s">
        <v>266</v>
      </c>
      <c r="I5" s="149" t="s">
        <v>267</v>
      </c>
      <c r="J5" s="149" t="s">
        <v>268</v>
      </c>
      <c r="K5" s="149" t="s">
        <v>267</v>
      </c>
      <c r="L5" s="149" t="s">
        <v>269</v>
      </c>
      <c r="M5" s="149" t="s">
        <v>270</v>
      </c>
      <c r="N5" s="187" t="s">
        <v>268</v>
      </c>
      <c r="O5" s="187" t="s">
        <v>326</v>
      </c>
      <c r="P5" s="148" t="s">
        <v>325</v>
      </c>
      <c r="Q5" s="148" t="s">
        <v>324</v>
      </c>
    </row>
    <row r="6" spans="1:38" ht="12.75" customHeight="1" x14ac:dyDescent="0.2">
      <c r="A6" s="149" t="s">
        <v>271</v>
      </c>
      <c r="B6" s="170" t="s">
        <v>272</v>
      </c>
      <c r="C6" s="149" t="s">
        <v>273</v>
      </c>
      <c r="D6" s="149" t="s">
        <v>274</v>
      </c>
      <c r="E6" s="149" t="s">
        <v>57</v>
      </c>
      <c r="F6" s="149" t="s">
        <v>31</v>
      </c>
      <c r="G6" s="188" t="s">
        <v>323</v>
      </c>
      <c r="H6" s="149" t="s">
        <v>275</v>
      </c>
      <c r="I6" s="149" t="s">
        <v>276</v>
      </c>
      <c r="K6" s="149" t="s">
        <v>277</v>
      </c>
      <c r="M6" s="149" t="s">
        <v>277</v>
      </c>
      <c r="N6" s="187" t="s">
        <v>322</v>
      </c>
      <c r="O6"/>
      <c r="P6" s="148" t="s">
        <v>322</v>
      </c>
      <c r="Q6" s="148" t="s">
        <v>321</v>
      </c>
      <c r="R6" s="148" t="s">
        <v>320</v>
      </c>
    </row>
    <row r="7" spans="1:38" ht="211" x14ac:dyDescent="0.2">
      <c r="A7" s="149" t="s">
        <v>278</v>
      </c>
      <c r="B7" s="149" t="s">
        <v>279</v>
      </c>
      <c r="C7" s="149" t="s">
        <v>280</v>
      </c>
      <c r="D7" s="149" t="s">
        <v>281</v>
      </c>
      <c r="E7" s="260" t="s">
        <v>282</v>
      </c>
      <c r="F7" s="260"/>
      <c r="G7" s="260"/>
      <c r="H7" s="149" t="s">
        <v>319</v>
      </c>
      <c r="I7" s="149" t="s">
        <v>286</v>
      </c>
      <c r="K7" s="149" t="s">
        <v>287</v>
      </c>
      <c r="M7" s="149" t="s">
        <v>288</v>
      </c>
      <c r="N7" s="187" t="s">
        <v>318</v>
      </c>
      <c r="O7"/>
      <c r="P7" s="148" t="s">
        <v>317</v>
      </c>
      <c r="Q7" s="182" t="s">
        <v>316</v>
      </c>
      <c r="S7" s="155" t="s">
        <v>351</v>
      </c>
    </row>
    <row r="8" spans="1:38" ht="42" x14ac:dyDescent="0.15">
      <c r="B8" s="169" t="s">
        <v>292</v>
      </c>
      <c r="C8" s="169" t="s">
        <v>292</v>
      </c>
      <c r="D8" s="169" t="s">
        <v>292</v>
      </c>
      <c r="E8" s="169" t="s">
        <v>315</v>
      </c>
      <c r="F8" s="169" t="s">
        <v>314</v>
      </c>
      <c r="G8" s="169" t="s">
        <v>314</v>
      </c>
      <c r="H8" s="169" t="s">
        <v>292</v>
      </c>
      <c r="I8" s="169" t="s">
        <v>292</v>
      </c>
      <c r="J8" s="169" t="s">
        <v>292</v>
      </c>
      <c r="K8" s="169" t="s">
        <v>292</v>
      </c>
      <c r="L8" s="169" t="s">
        <v>292</v>
      </c>
      <c r="M8" s="169" t="s">
        <v>292</v>
      </c>
      <c r="N8" s="169" t="s">
        <v>292</v>
      </c>
      <c r="O8" s="169" t="s">
        <v>292</v>
      </c>
      <c r="P8" s="169" t="s">
        <v>292</v>
      </c>
      <c r="Q8" s="169" t="s">
        <v>292</v>
      </c>
      <c r="R8" s="169" t="s">
        <v>292</v>
      </c>
    </row>
    <row r="9" spans="1:38" ht="13" x14ac:dyDescent="0.15">
      <c r="A9" s="150" t="s">
        <v>298</v>
      </c>
      <c r="B9" s="150"/>
      <c r="C9" s="150"/>
      <c r="D9" s="150"/>
      <c r="E9" s="150"/>
      <c r="F9" s="150"/>
      <c r="G9" s="150"/>
      <c r="H9" s="150"/>
      <c r="I9" s="150"/>
      <c r="J9" s="150"/>
      <c r="K9" s="150"/>
      <c r="L9" s="150"/>
      <c r="M9" s="150"/>
      <c r="N9" s="150"/>
      <c r="O9" s="150"/>
      <c r="P9" s="150"/>
      <c r="Q9" s="150"/>
      <c r="R9" s="150"/>
      <c r="S9" s="150"/>
    </row>
    <row r="10" spans="1:38" ht="13" x14ac:dyDescent="0.15">
      <c r="A10" s="157" t="s">
        <v>299</v>
      </c>
      <c r="B10" s="165">
        <v>9.8522167487684748E-2</v>
      </c>
      <c r="D10" s="165">
        <v>0.126</v>
      </c>
      <c r="H10" s="164">
        <v>0.10843373493975905</v>
      </c>
      <c r="I10" s="149">
        <v>0.13100000000000001</v>
      </c>
      <c r="J10" s="149">
        <v>0.20399999999999999</v>
      </c>
      <c r="P10" s="148">
        <v>0.10812142716341418</v>
      </c>
    </row>
    <row r="11" spans="1:38" ht="13" x14ac:dyDescent="0.15">
      <c r="A11" s="148" t="s">
        <v>300</v>
      </c>
      <c r="B11" s="165">
        <v>5.9113300492610842E-2</v>
      </c>
      <c r="D11" s="165">
        <v>9.9000000000000005E-2</v>
      </c>
      <c r="H11" s="164">
        <v>4.8192771084337359E-2</v>
      </c>
      <c r="I11" s="149">
        <v>8.3000000000000004E-2</v>
      </c>
      <c r="J11" s="149">
        <v>8.4000000000000005E-2</v>
      </c>
      <c r="P11" s="148">
        <v>5.6968263355016771E-2</v>
      </c>
    </row>
    <row r="12" spans="1:38" ht="13" x14ac:dyDescent="0.15">
      <c r="A12" s="148" t="s">
        <v>301</v>
      </c>
      <c r="B12" s="165">
        <v>0.30541871921182273</v>
      </c>
      <c r="D12" s="165">
        <v>0.38227528089887641</v>
      </c>
      <c r="H12" s="185">
        <v>0.37349397590361455</v>
      </c>
      <c r="I12" s="149">
        <v>0.36799999999999999</v>
      </c>
      <c r="J12" s="149">
        <v>0.318</v>
      </c>
      <c r="P12" s="148">
        <v>0.30829883698009075</v>
      </c>
      <c r="S12" s="184">
        <f>1-S13</f>
        <v>0.46822135734532</v>
      </c>
      <c r="T12" s="182" t="s">
        <v>304</v>
      </c>
    </row>
    <row r="13" spans="1:38" ht="13" x14ac:dyDescent="0.15">
      <c r="A13" s="157" t="s">
        <v>302</v>
      </c>
      <c r="B13" s="165">
        <v>0.53694581280788167</v>
      </c>
      <c r="D13" s="165">
        <v>0.39272471910112366</v>
      </c>
      <c r="H13" s="185">
        <v>0.46987951807228928</v>
      </c>
      <c r="I13" s="149">
        <v>0.41799999999999993</v>
      </c>
      <c r="J13" s="149">
        <v>0.39400000000000002</v>
      </c>
      <c r="P13" s="148">
        <v>0.52661147250147844</v>
      </c>
      <c r="S13" s="184">
        <f>AVERAGE(B13,P13)</f>
        <v>0.53177864265468</v>
      </c>
      <c r="T13" s="182" t="s">
        <v>313</v>
      </c>
    </row>
    <row r="14" spans="1:38" ht="13" x14ac:dyDescent="0.15">
      <c r="A14" s="150" t="s">
        <v>303</v>
      </c>
      <c r="B14" s="166"/>
      <c r="C14" s="150"/>
      <c r="D14" s="150"/>
      <c r="E14" s="150"/>
      <c r="F14" s="150"/>
      <c r="G14" s="150"/>
      <c r="H14" s="150"/>
      <c r="I14" s="150"/>
      <c r="J14" s="150"/>
      <c r="K14" s="150"/>
      <c r="L14" s="150"/>
      <c r="M14" s="150"/>
      <c r="N14" s="150"/>
      <c r="O14" s="150"/>
      <c r="P14" s="150"/>
      <c r="Q14" s="150"/>
      <c r="R14" s="150"/>
      <c r="S14" s="186"/>
    </row>
    <row r="15" spans="1:38" ht="13" x14ac:dyDescent="0.15">
      <c r="A15" s="157" t="s">
        <v>299</v>
      </c>
      <c r="B15" s="165">
        <v>9.5869056897895572E-2</v>
      </c>
      <c r="D15" s="149">
        <v>0.21899999999999997</v>
      </c>
      <c r="H15" s="164">
        <v>7.9800498753117205E-2</v>
      </c>
      <c r="I15" s="149">
        <v>0.16800000000000001</v>
      </c>
      <c r="J15" s="149">
        <v>0.251</v>
      </c>
      <c r="M15" s="149">
        <v>0.16300000000000001</v>
      </c>
    </row>
    <row r="16" spans="1:38" ht="13" x14ac:dyDescent="0.15">
      <c r="A16" s="148" t="s">
        <v>300</v>
      </c>
      <c r="B16" s="165">
        <v>6.8589243959470012E-2</v>
      </c>
      <c r="D16" s="149">
        <v>0.13500000000000001</v>
      </c>
      <c r="H16" s="164">
        <v>7.9800498753117205E-2</v>
      </c>
      <c r="I16" s="149">
        <v>8.3000000000000004E-2</v>
      </c>
      <c r="J16" s="149">
        <v>8.6999999999999994E-2</v>
      </c>
      <c r="M16" s="149">
        <v>9.3000000000000013E-2</v>
      </c>
    </row>
    <row r="17" spans="1:20" ht="13" x14ac:dyDescent="0.15">
      <c r="A17" s="148" t="s">
        <v>301</v>
      </c>
      <c r="B17" s="165">
        <v>0.30085736554949344</v>
      </c>
      <c r="D17" s="149">
        <v>0.30589562547966231</v>
      </c>
      <c r="H17" s="185">
        <v>0.44139650872817959</v>
      </c>
      <c r="I17" s="149">
        <v>0.42</v>
      </c>
      <c r="J17" s="149">
        <v>0.35100000000000003</v>
      </c>
      <c r="M17" s="149">
        <v>0.317</v>
      </c>
      <c r="S17" s="184">
        <f>1-S18</f>
        <v>0.51915783320342934</v>
      </c>
      <c r="T17" s="182" t="s">
        <v>304</v>
      </c>
    </row>
    <row r="18" spans="1:20" ht="13" x14ac:dyDescent="0.15">
      <c r="A18" s="157" t="s">
        <v>302</v>
      </c>
      <c r="B18" s="165">
        <v>0.53468433359314127</v>
      </c>
      <c r="D18" s="149">
        <v>0.34010437452033765</v>
      </c>
      <c r="H18" s="185">
        <v>0.399002493765586</v>
      </c>
      <c r="I18" s="149">
        <v>0.32899999999999996</v>
      </c>
      <c r="J18" s="149">
        <v>0.31099999999999994</v>
      </c>
      <c r="M18" s="149">
        <v>0.42700000000000005</v>
      </c>
      <c r="S18" s="184">
        <f>AVERAGE(M18,B18)</f>
        <v>0.48084216679657066</v>
      </c>
      <c r="T18" s="182" t="s">
        <v>313</v>
      </c>
    </row>
    <row r="19" spans="1:20" ht="13" x14ac:dyDescent="0.15">
      <c r="A19" s="150" t="s">
        <v>305</v>
      </c>
      <c r="B19" s="166"/>
      <c r="C19" s="150"/>
      <c r="D19" s="150"/>
      <c r="E19" s="150"/>
      <c r="F19" s="150"/>
      <c r="G19" s="150"/>
      <c r="H19" s="150"/>
      <c r="I19" s="150"/>
      <c r="J19" s="150"/>
      <c r="K19" s="150"/>
      <c r="L19" s="150"/>
      <c r="M19" s="150"/>
      <c r="N19" s="150"/>
      <c r="O19" s="150"/>
      <c r="P19" s="150"/>
      <c r="Q19" s="150"/>
      <c r="R19" s="150"/>
      <c r="S19" s="150"/>
    </row>
    <row r="20" spans="1:20" ht="13" x14ac:dyDescent="0.15">
      <c r="A20" s="157" t="s">
        <v>299</v>
      </c>
      <c r="B20" s="165">
        <v>0.15971316818774448</v>
      </c>
      <c r="D20" s="149">
        <v>0.313</v>
      </c>
      <c r="H20" s="164">
        <v>0.33389830508474572</v>
      </c>
      <c r="I20" s="149">
        <v>0.30299999999999999</v>
      </c>
      <c r="J20" s="149">
        <v>0.47499999999999998</v>
      </c>
    </row>
    <row r="21" spans="1:20" ht="13" x14ac:dyDescent="0.15">
      <c r="A21" s="148" t="s">
        <v>300</v>
      </c>
      <c r="B21" s="165">
        <v>5.9973924380704043E-2</v>
      </c>
      <c r="D21" s="149">
        <v>0.156</v>
      </c>
      <c r="H21" s="164">
        <v>0.12372881355932201</v>
      </c>
      <c r="I21" s="149">
        <v>9.1999999999999998E-2</v>
      </c>
      <c r="J21" s="149">
        <v>9.6000000000000002E-2</v>
      </c>
    </row>
    <row r="22" spans="1:20" ht="13" x14ac:dyDescent="0.15">
      <c r="A22" s="148" t="s">
        <v>301</v>
      </c>
      <c r="B22" s="165">
        <v>0.36571056062581492</v>
      </c>
      <c r="D22" s="149">
        <v>0.27666666666666667</v>
      </c>
      <c r="H22" s="185">
        <v>0.39491525423728807</v>
      </c>
      <c r="I22" s="149">
        <v>0.43400000000000005</v>
      </c>
      <c r="J22" s="149">
        <v>0.41399999999999998</v>
      </c>
      <c r="S22" s="184">
        <f>1-S23</f>
        <v>0.73709892344552175</v>
      </c>
      <c r="T22" s="182" t="s">
        <v>304</v>
      </c>
    </row>
    <row r="23" spans="1:20" ht="13" x14ac:dyDescent="0.15">
      <c r="A23" s="157" t="s">
        <v>302</v>
      </c>
      <c r="B23" s="165">
        <v>0.41460234680573665</v>
      </c>
      <c r="D23" s="149">
        <v>0.25433333333333324</v>
      </c>
      <c r="H23" s="185">
        <v>0.32680195941217638</v>
      </c>
      <c r="I23" s="149">
        <v>0.17099999999999993</v>
      </c>
      <c r="J23" s="149">
        <v>1.5000000000000124E-2</v>
      </c>
      <c r="Q23" s="148">
        <v>0.14319999999999999</v>
      </c>
      <c r="R23" s="148">
        <v>0.16700000000000001</v>
      </c>
      <c r="S23" s="184">
        <f>AVERAGE(B23,H23,Q23,R23)</f>
        <v>0.26290107655447825</v>
      </c>
      <c r="T23" s="182" t="s">
        <v>313</v>
      </c>
    </row>
    <row r="24" spans="1:20" ht="13" x14ac:dyDescent="0.15">
      <c r="A24" s="150" t="s">
        <v>306</v>
      </c>
      <c r="B24" s="159"/>
      <c r="C24" s="150"/>
      <c r="D24" s="150"/>
      <c r="E24" s="150"/>
      <c r="F24" s="150"/>
      <c r="G24" s="150"/>
      <c r="H24" s="150"/>
      <c r="I24" s="150"/>
      <c r="J24" s="150"/>
      <c r="K24" s="150"/>
      <c r="L24" s="150"/>
      <c r="M24" s="150"/>
      <c r="N24" s="150"/>
      <c r="O24" s="150"/>
      <c r="P24" s="150"/>
      <c r="Q24" s="150"/>
      <c r="R24" s="150"/>
      <c r="S24" s="150"/>
    </row>
    <row r="25" spans="1:20" ht="13" x14ac:dyDescent="0.15">
      <c r="A25" s="157" t="s">
        <v>299</v>
      </c>
      <c r="B25" s="158">
        <v>0.50954773869346748</v>
      </c>
      <c r="C25" s="157">
        <v>0.47499999999999998</v>
      </c>
      <c r="D25" s="149">
        <v>0.46600000000000003</v>
      </c>
      <c r="E25" s="156">
        <v>0.45700000000000002</v>
      </c>
      <c r="F25" s="156">
        <v>0.51900000000000002</v>
      </c>
      <c r="G25" s="148">
        <v>0.499492385786802</v>
      </c>
      <c r="I25" s="149">
        <v>0.53100000000000003</v>
      </c>
      <c r="J25" s="149">
        <v>0.626</v>
      </c>
      <c r="K25" s="149">
        <v>0.47610294117647056</v>
      </c>
      <c r="L25" s="149">
        <v>0.60588169767182798</v>
      </c>
      <c r="N25" s="148">
        <v>0.6</v>
      </c>
      <c r="O25" s="148">
        <v>0.52</v>
      </c>
    </row>
    <row r="26" spans="1:20" ht="13" x14ac:dyDescent="0.15">
      <c r="A26" s="148" t="s">
        <v>300</v>
      </c>
      <c r="B26" s="158">
        <v>0.13567839195979903</v>
      </c>
      <c r="C26" s="157">
        <v>0.182</v>
      </c>
      <c r="D26" s="149">
        <v>0.24399999999999999</v>
      </c>
      <c r="E26" s="156">
        <v>0.19500000000000001</v>
      </c>
      <c r="F26" s="156">
        <v>0.151</v>
      </c>
      <c r="G26" s="148">
        <v>0.16446700507614212</v>
      </c>
      <c r="I26" s="149">
        <v>0.19800000000000001</v>
      </c>
      <c r="J26" s="149">
        <v>0.157</v>
      </c>
      <c r="K26" s="149">
        <v>0.22610294117647059</v>
      </c>
      <c r="L26" s="149">
        <v>0.10226133452155509</v>
      </c>
      <c r="N26" s="148">
        <v>0.158</v>
      </c>
      <c r="O26" s="148">
        <v>0.19</v>
      </c>
    </row>
    <row r="27" spans="1:20" ht="12.75" customHeight="1" x14ac:dyDescent="0.15">
      <c r="A27" s="148" t="s">
        <v>301</v>
      </c>
      <c r="B27" s="158">
        <v>0.19296482412060306</v>
      </c>
      <c r="C27" s="157">
        <v>0.17699999999999999</v>
      </c>
      <c r="D27" s="149">
        <v>0.17699530516431927</v>
      </c>
      <c r="E27" s="157">
        <v>0.217</v>
      </c>
      <c r="F27" s="157">
        <v>0.20799999999999996</v>
      </c>
      <c r="G27" s="148">
        <v>0.22842639593908629</v>
      </c>
      <c r="I27" s="149">
        <v>0.21899999999999997</v>
      </c>
      <c r="J27" s="149">
        <v>0.21700000000000003</v>
      </c>
      <c r="K27" s="149">
        <v>0.16544117647058823</v>
      </c>
      <c r="L27" s="149">
        <v>0.1853625932939735</v>
      </c>
      <c r="N27" s="148">
        <v>0.1722342342342342</v>
      </c>
      <c r="O27" s="148">
        <v>0.19617647058823534</v>
      </c>
      <c r="S27" s="184">
        <f>1-S28</f>
        <v>0.85780595009985727</v>
      </c>
      <c r="T27" s="182" t="s">
        <v>304</v>
      </c>
    </row>
    <row r="28" spans="1:20" ht="12.75" customHeight="1" x14ac:dyDescent="0.15">
      <c r="A28" s="157" t="s">
        <v>302</v>
      </c>
      <c r="B28" s="158">
        <v>0.16180904522613065</v>
      </c>
      <c r="C28" s="157">
        <v>0.16700000000000001</v>
      </c>
      <c r="D28" s="149">
        <v>0.11300469483568076</v>
      </c>
      <c r="E28" s="157">
        <v>0.1009</v>
      </c>
      <c r="F28" s="157">
        <v>0.122</v>
      </c>
      <c r="G28" s="148">
        <v>0.10761421319796954</v>
      </c>
      <c r="I28" s="149">
        <v>5.1999999999999935E-2</v>
      </c>
      <c r="J28" s="149">
        <v>0</v>
      </c>
      <c r="K28" s="149">
        <v>0.13235294117647067</v>
      </c>
      <c r="L28" s="149">
        <v>0.10649437451264343</v>
      </c>
      <c r="N28" s="148">
        <v>6.9765765765765764E-2</v>
      </c>
      <c r="O28" s="148">
        <v>9.3823529411764722E-2</v>
      </c>
      <c r="S28" s="183">
        <f>AVERAGE(B28,C28,G28,K28)</f>
        <v>0.14219404990014273</v>
      </c>
      <c r="T28" s="182" t="s">
        <v>313</v>
      </c>
    </row>
    <row r="29" spans="1:20" s="178" customFormat="1" ht="12.75" customHeight="1" x14ac:dyDescent="0.15">
      <c r="A29" s="180" t="s">
        <v>312</v>
      </c>
      <c r="B29" s="181"/>
      <c r="C29" s="180"/>
      <c r="D29" s="179"/>
      <c r="E29" s="180"/>
      <c r="F29" s="180"/>
      <c r="G29" s="180"/>
      <c r="I29" s="179"/>
      <c r="J29" s="179"/>
      <c r="K29" s="179"/>
      <c r="L29" s="179"/>
    </row>
    <row r="30" spans="1:20" ht="12.75" customHeight="1" x14ac:dyDescent="0.15">
      <c r="A30" s="150" t="s">
        <v>309</v>
      </c>
      <c r="B30" s="150"/>
      <c r="C30" s="150"/>
      <c r="D30" s="150"/>
      <c r="E30" s="150"/>
      <c r="F30" s="150"/>
      <c r="G30" s="150"/>
      <c r="H30" s="150"/>
      <c r="I30" s="150"/>
      <c r="J30" s="150"/>
      <c r="K30" s="150"/>
      <c r="L30" s="150"/>
      <c r="M30" s="150"/>
      <c r="N30" s="150"/>
      <c r="O30" s="150"/>
    </row>
    <row r="31" spans="1:20" ht="12.75" customHeight="1" x14ac:dyDescent="0.15">
      <c r="A31" s="157" t="s">
        <v>299</v>
      </c>
      <c r="D31" s="149">
        <v>0.183</v>
      </c>
      <c r="J31" s="149">
        <v>0.27600000000000002</v>
      </c>
    </row>
    <row r="32" spans="1:20" ht="12.75" customHeight="1" x14ac:dyDescent="0.15">
      <c r="A32" s="148" t="s">
        <v>300</v>
      </c>
      <c r="D32" s="149">
        <v>0.107</v>
      </c>
      <c r="J32" s="149">
        <v>0.09</v>
      </c>
    </row>
    <row r="33" spans="1:15" ht="12.75" customHeight="1" x14ac:dyDescent="0.15">
      <c r="A33" s="148" t="s">
        <v>301</v>
      </c>
      <c r="D33" s="149">
        <v>0.3216134598792062</v>
      </c>
      <c r="J33" s="149">
        <v>0.43799999999999994</v>
      </c>
    </row>
    <row r="34" spans="1:15" ht="13.5" customHeight="1" x14ac:dyDescent="0.15">
      <c r="A34" s="157" t="s">
        <v>302</v>
      </c>
      <c r="D34" s="149">
        <v>0.38838654012079366</v>
      </c>
      <c r="J34" s="149">
        <v>0.19600000000000006</v>
      </c>
    </row>
    <row r="35" spans="1:15" ht="12.75" customHeight="1" x14ac:dyDescent="0.15">
      <c r="A35" s="150" t="s">
        <v>310</v>
      </c>
      <c r="B35" s="150"/>
      <c r="C35" s="150"/>
      <c r="D35" s="150"/>
      <c r="E35" s="150"/>
      <c r="F35" s="150"/>
      <c r="G35" s="150"/>
      <c r="H35" s="150"/>
      <c r="I35" s="150"/>
      <c r="J35" s="151"/>
      <c r="K35" s="150"/>
      <c r="L35" s="150"/>
      <c r="M35" s="150"/>
      <c r="N35" s="150"/>
      <c r="O35" s="150"/>
    </row>
    <row r="36" spans="1:15" ht="12.75" customHeight="1" x14ac:dyDescent="0.15">
      <c r="A36" s="157" t="s">
        <v>299</v>
      </c>
      <c r="D36" s="149">
        <v>0.23</v>
      </c>
      <c r="J36" s="149">
        <v>0.39799999999999996</v>
      </c>
    </row>
    <row r="37" spans="1:15" ht="12.75" customHeight="1" x14ac:dyDescent="0.15">
      <c r="A37" s="148" t="s">
        <v>300</v>
      </c>
      <c r="D37" s="149">
        <v>0.14699999999999999</v>
      </c>
      <c r="J37" s="149">
        <v>0.1</v>
      </c>
    </row>
    <row r="38" spans="1:15" ht="12.75" customHeight="1" x14ac:dyDescent="0.15">
      <c r="A38" s="148" t="s">
        <v>301</v>
      </c>
      <c r="D38" s="149">
        <v>0.32012755102040802</v>
      </c>
      <c r="J38" s="149">
        <v>0.53400000000000003</v>
      </c>
    </row>
    <row r="39" spans="1:15" ht="12.75" customHeight="1" x14ac:dyDescent="0.15">
      <c r="A39" s="157" t="s">
        <v>302</v>
      </c>
      <c r="D39" s="149">
        <v>0.3028724489795917</v>
      </c>
      <c r="J39" s="149">
        <v>-3.2000000000000028E-2</v>
      </c>
    </row>
    <row r="40" spans="1:15" ht="12.75" customHeight="1" x14ac:dyDescent="0.15">
      <c r="A40" s="150" t="s">
        <v>311</v>
      </c>
      <c r="B40" s="150"/>
      <c r="C40" s="150"/>
      <c r="D40" s="150"/>
      <c r="E40" s="150"/>
      <c r="F40" s="150"/>
      <c r="G40" s="150"/>
      <c r="H40" s="150"/>
      <c r="I40" s="150"/>
      <c r="J40" s="150"/>
      <c r="K40" s="150"/>
      <c r="L40" s="150"/>
      <c r="M40" s="150"/>
      <c r="N40" s="150"/>
      <c r="O40" s="150"/>
    </row>
    <row r="41" spans="1:15" ht="12.75" customHeight="1" x14ac:dyDescent="0.15">
      <c r="A41" s="157" t="s">
        <v>299</v>
      </c>
      <c r="D41" s="149">
        <v>0.40600000000000003</v>
      </c>
      <c r="J41" s="149">
        <v>0.58200000000000007</v>
      </c>
    </row>
    <row r="42" spans="1:15" ht="12.75" customHeight="1" x14ac:dyDescent="0.15">
      <c r="A42" s="148" t="s">
        <v>300</v>
      </c>
      <c r="D42" s="149">
        <v>0.13100000000000001</v>
      </c>
      <c r="J42" s="149">
        <v>7.400000000000001E-2</v>
      </c>
    </row>
    <row r="43" spans="1:15" ht="12.75" customHeight="1" x14ac:dyDescent="0.15">
      <c r="A43" s="148" t="s">
        <v>301</v>
      </c>
      <c r="D43" s="149">
        <v>0.23775675675675673</v>
      </c>
      <c r="J43" s="149">
        <v>0.43599999999999994</v>
      </c>
    </row>
    <row r="44" spans="1:15" ht="12.75" customHeight="1" x14ac:dyDescent="0.15">
      <c r="A44" s="157" t="s">
        <v>302</v>
      </c>
      <c r="D44" s="149">
        <v>0.22524324324324321</v>
      </c>
      <c r="J44" s="149">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Microsoft Office User</cp:lastModifiedBy>
  <dcterms:created xsi:type="dcterms:W3CDTF">2016-12-08T23:26:26Z</dcterms:created>
  <dcterms:modified xsi:type="dcterms:W3CDTF">2023-01-31T18:47:56Z</dcterms:modified>
</cp:coreProperties>
</file>