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cktzr\Google Drive\ICRC\CISNET\Model\HHCoM\"/>
    </mc:Choice>
  </mc:AlternateContent>
  <bookViews>
    <workbookView xWindow="0" yWindow="0" windowWidth="15530" windowHeight="6530" activeTab="1"/>
  </bookViews>
  <sheets>
    <sheet name="Demographics" sheetId="1" r:id="rId1"/>
    <sheet name="Disease Data" sheetId="2" r:id="rId2"/>
    <sheet name="Protection" sheetId="5" r:id="rId3"/>
    <sheet name="Actual" sheetId="6" r:id="rId4"/>
    <sheet name="Sheet2" sheetId="4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B18" i="2"/>
  <c r="C17" i="2"/>
  <c r="B17" i="2"/>
  <c r="C16" i="2"/>
  <c r="B16" i="2"/>
  <c r="C15" i="2"/>
  <c r="B15" i="2"/>
  <c r="AY43" i="2"/>
  <c r="AX43" i="2"/>
  <c r="AW43" i="2"/>
  <c r="AY42" i="2"/>
  <c r="AX42" i="2"/>
  <c r="AW42" i="2"/>
  <c r="AY41" i="2"/>
  <c r="AX41" i="2"/>
  <c r="AW41" i="2"/>
  <c r="AY40" i="2"/>
  <c r="AX40" i="2"/>
  <c r="AW40" i="2"/>
  <c r="AY39" i="2"/>
  <c r="AX39" i="2"/>
  <c r="AW39" i="2"/>
  <c r="AV42" i="2"/>
  <c r="AV41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P41" i="2"/>
  <c r="AP42" i="2"/>
  <c r="AS39" i="2"/>
  <c r="AR39" i="2"/>
  <c r="AQ39" i="2"/>
  <c r="AY34" i="2"/>
  <c r="AX34" i="2"/>
  <c r="AW34" i="2"/>
  <c r="AY33" i="2"/>
  <c r="AX33" i="2"/>
  <c r="AW33" i="2"/>
  <c r="AY32" i="2"/>
  <c r="AX32" i="2"/>
  <c r="AW32" i="2"/>
  <c r="AY31" i="2"/>
  <c r="AX31" i="2"/>
  <c r="AW31" i="2"/>
  <c r="AY30" i="2"/>
  <c r="AX30" i="2"/>
  <c r="AW30" i="2"/>
  <c r="AV33" i="2"/>
  <c r="AV32" i="2"/>
  <c r="AS34" i="2"/>
  <c r="AR34" i="2"/>
  <c r="AQ34" i="2"/>
  <c r="AS33" i="2"/>
  <c r="AR33" i="2"/>
  <c r="AQ33" i="2"/>
  <c r="AP33" i="2"/>
  <c r="AS32" i="2"/>
  <c r="AR32" i="2"/>
  <c r="AQ32" i="2"/>
  <c r="AP32" i="2"/>
  <c r="AS31" i="2"/>
  <c r="AR31" i="2"/>
  <c r="AQ31" i="2"/>
  <c r="AS30" i="2"/>
  <c r="AR30" i="2"/>
  <c r="AQ30" i="2"/>
  <c r="B4" i="2"/>
  <c r="B5" i="2"/>
  <c r="B6" i="2"/>
  <c r="B7" i="2"/>
  <c r="B8" i="2"/>
  <c r="B9" i="2"/>
  <c r="B10" i="2"/>
  <c r="B11" i="2"/>
  <c r="B12" i="2"/>
  <c r="B13" i="2"/>
  <c r="B14" i="2"/>
  <c r="B3" i="2"/>
  <c r="C3" i="2"/>
  <c r="C4" i="2"/>
  <c r="C5" i="2"/>
  <c r="C6" i="2"/>
  <c r="C7" i="2"/>
  <c r="C8" i="2"/>
  <c r="C9" i="2"/>
  <c r="C10" i="2"/>
  <c r="C11" i="2"/>
  <c r="C12" i="2"/>
  <c r="C13" i="2"/>
  <c r="C14" i="2"/>
  <c r="AP23" i="2"/>
  <c r="AP24" i="2"/>
  <c r="AP22" i="2"/>
  <c r="AP17" i="2"/>
  <c r="AP18" i="2"/>
  <c r="AP16" i="2"/>
  <c r="G4" i="5"/>
  <c r="G3" i="5"/>
  <c r="AR22" i="2"/>
  <c r="AS22" i="2"/>
  <c r="AT22" i="2"/>
  <c r="AR23" i="2"/>
  <c r="AS23" i="2"/>
  <c r="AT23" i="2"/>
  <c r="AR24" i="2"/>
  <c r="AS24" i="2"/>
  <c r="AT24" i="2"/>
  <c r="AQ23" i="2"/>
  <c r="AQ24" i="2"/>
  <c r="AQ22" i="2"/>
  <c r="AR16" i="2"/>
  <c r="AS16" i="2"/>
  <c r="AT16" i="2"/>
  <c r="AR17" i="2"/>
  <c r="AS17" i="2"/>
  <c r="AT17" i="2"/>
  <c r="AR18" i="2"/>
  <c r="AS18" i="2"/>
  <c r="AT18" i="2"/>
  <c r="AQ17" i="2"/>
  <c r="AQ18" i="2"/>
  <c r="AQ16" i="2"/>
  <c r="H26" i="2"/>
  <c r="H24" i="2"/>
  <c r="H23" i="2"/>
  <c r="H19" i="2"/>
  <c r="H18" i="2"/>
  <c r="R10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I11" i="2"/>
  <c r="J11" i="2"/>
  <c r="K11" i="2"/>
  <c r="L11" i="2"/>
  <c r="M11" i="2"/>
  <c r="H11" i="2"/>
  <c r="I10" i="2"/>
  <c r="J10" i="2"/>
  <c r="K10" i="2"/>
  <c r="L10" i="2"/>
  <c r="M10" i="2"/>
  <c r="H10" i="2"/>
  <c r="I9" i="2"/>
  <c r="J9" i="2"/>
  <c r="K9" i="2"/>
  <c r="L9" i="2"/>
  <c r="M9" i="2"/>
  <c r="H9" i="2"/>
  <c r="L5" i="4"/>
  <c r="L6" i="4"/>
  <c r="L7" i="4"/>
  <c r="L8" i="4"/>
  <c r="L9" i="4"/>
  <c r="L10" i="4"/>
  <c r="L11" i="4"/>
  <c r="L12" i="4"/>
  <c r="L13" i="4"/>
  <c r="L14" i="4"/>
  <c r="L15" i="4"/>
  <c r="L4" i="4"/>
  <c r="Q5" i="4"/>
  <c r="Q6" i="4"/>
  <c r="Q7" i="4"/>
  <c r="Q8" i="4"/>
  <c r="Q9" i="4"/>
  <c r="Q10" i="4"/>
  <c r="Q11" i="4"/>
  <c r="Q12" i="4"/>
  <c r="Q13" i="4"/>
  <c r="Q14" i="4"/>
  <c r="Q15" i="4"/>
  <c r="Q4" i="4"/>
</calcChain>
</file>

<file path=xl/sharedStrings.xml><?xml version="1.0" encoding="utf-8"?>
<sst xmlns="http://schemas.openxmlformats.org/spreadsheetml/2006/main" count="481" uniqueCount="216">
  <si>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</si>
  <si>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</si>
  <si>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</si>
  <si>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</si>
  <si>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</si>
  <si>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</si>
  <si>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</si>
  <si>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</si>
  <si>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30 – 39</t>
  </si>
  <si>
    <t>35 – 39</t>
  </si>
  <si>
    <t>40 – 44</t>
  </si>
  <si>
    <t>45 – 49</t>
  </si>
  <si>
    <t>50 – 54</t>
  </si>
  <si>
    <t>55 – 59</t>
  </si>
  <si>
    <t>Risk Distribution</t>
  </si>
  <si>
    <t>Low-Risk</t>
  </si>
  <si>
    <t>Moderate-Risk</t>
  </si>
  <si>
    <t>High-Risk</t>
  </si>
  <si>
    <t>30 – 34</t>
  </si>
  <si>
    <t>Age Group</t>
  </si>
  <si>
    <r>
      <t xml:space="preserve">Male Background Mortality </t>
    </r>
    <r>
      <rPr>
        <sz val="12"/>
        <color theme="1"/>
        <rFont val="Times New Roman"/>
        <family val="1"/>
      </rPr>
      <t>[21]</t>
    </r>
  </si>
  <si>
    <r>
      <t>Female Background Mortality</t>
    </r>
    <r>
      <rPr>
        <sz val="12"/>
        <color theme="1"/>
        <rFont val="Times New Roman"/>
        <family val="1"/>
      </rPr>
      <t xml:space="preserve"> [21]</t>
    </r>
  </si>
  <si>
    <t>Fertility</t>
  </si>
  <si>
    <r>
      <t>HIV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RR=1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[13]</t>
    </r>
  </si>
  <si>
    <r>
      <t xml:space="preserve">Acute </t>
    </r>
    <r>
      <rPr>
        <sz val="12"/>
        <color theme="1"/>
        <rFont val="Times New Roman"/>
        <family val="1"/>
      </rPr>
      <t>RR=1 [13, 23]</t>
    </r>
  </si>
  <si>
    <t>&gt;350</t>
  </si>
  <si>
    <r>
      <t>RR=0.42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[13, 23]</t>
    </r>
  </si>
  <si>
    <t>200-350</t>
  </si>
  <si>
    <t>RR=0.42 [13, 23]</t>
  </si>
  <si>
    <r>
      <t xml:space="preserve">&lt;200 </t>
    </r>
    <r>
      <rPr>
        <sz val="12"/>
        <color theme="1"/>
        <rFont val="Times New Roman"/>
        <family val="1"/>
      </rPr>
      <t>RR=0.59[13, 23]</t>
    </r>
  </si>
  <si>
    <t>HIV1</t>
  </si>
  <si>
    <t>HIV2</t>
  </si>
  <si>
    <t>HIV3</t>
  </si>
  <si>
    <t>Stage of Infection [12]</t>
  </si>
  <si>
    <r>
      <t xml:space="preserve">Rate of HIV Stage Transition (ν) </t>
    </r>
    <r>
      <rPr>
        <sz val="12"/>
        <color theme="1"/>
        <rFont val="Times New Roman"/>
        <family val="1"/>
      </rPr>
      <t>[1]</t>
    </r>
  </si>
  <si>
    <t>Time in Stage (years)</t>
  </si>
  <si>
    <t>Rate of Transition</t>
  </si>
  <si>
    <t>Year</t>
  </si>
  <si>
    <t>MTCT Rate</t>
  </si>
  <si>
    <r>
      <t xml:space="preserve">Partnerships per year </t>
    </r>
    <r>
      <rPr>
        <sz val="12"/>
        <color theme="1"/>
        <rFont val="Times New Roman"/>
        <family val="1"/>
      </rPr>
      <t>[26]</t>
    </r>
  </si>
  <si>
    <t>Coital Acts per Partnership</t>
  </si>
  <si>
    <t>Force of Infection Mixing</t>
  </si>
  <si>
    <t xml:space="preserve"> (age)</t>
  </si>
  <si>
    <t xml:space="preserve"> (sexual risk)</t>
  </si>
  <si>
    <t>Age-Specific Data</t>
  </si>
  <si>
    <t>2012 Prevalence [6]</t>
  </si>
  <si>
    <t>2008 Prevalence [15]</t>
  </si>
  <si>
    <t>2005 Incidence [27]</t>
  </si>
  <si>
    <t>Males</t>
  </si>
  <si>
    <t>Females</t>
  </si>
  <si>
    <r>
      <t>South Africa Data</t>
    </r>
    <r>
      <rPr>
        <sz val="12"/>
        <color theme="1"/>
        <rFont val="Times New Roman"/>
        <family val="1"/>
      </rPr>
      <t xml:space="preserve"> [28]</t>
    </r>
  </si>
  <si>
    <r>
      <t>KwaZulu-Natal Data</t>
    </r>
    <r>
      <rPr>
        <sz val="12"/>
        <color theme="1"/>
        <rFont val="Times New Roman"/>
        <family val="1"/>
      </rPr>
      <t xml:space="preserve"> [29]</t>
    </r>
  </si>
  <si>
    <t>Prevalence</t>
  </si>
  <si>
    <t>[6]</t>
  </si>
  <si>
    <t>%</t>
  </si>
  <si>
    <t xml:space="preserve">% </t>
  </si>
  <si>
    <t>[22]</t>
  </si>
  <si>
    <t>Disease Induced Mortality</t>
  </si>
  <si>
    <t>After</t>
  </si>
  <si>
    <t>Before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</si>
  <si>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</si>
  <si>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</si>
  <si>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</si>
  <si>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</si>
  <si>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</si>
  <si>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</si>
  <si>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HIV Mortality</t>
  </si>
  <si>
    <t>Treatment Dropout Rates</t>
  </si>
  <si>
    <t>PrEP</t>
  </si>
  <si>
    <t>ART</t>
  </si>
  <si>
    <t>Age</t>
  </si>
  <si>
    <t>ART (CD4 &lt; 200 cells / uL)</t>
  </si>
  <si>
    <t>Susceptible</t>
  </si>
  <si>
    <t>Rate</t>
  </si>
  <si>
    <t>PrEP and ART Enrollment Rate</t>
  </si>
  <si>
    <t>Circumcision</t>
  </si>
  <si>
    <t>Protection Probability</t>
  </si>
  <si>
    <t>Lo</t>
  </si>
  <si>
    <t>Hi</t>
  </si>
  <si>
    <t>Weller et al</t>
  </si>
  <si>
    <t>Lei et al</t>
  </si>
  <si>
    <t>Source</t>
  </si>
  <si>
    <t>* Wide CI</t>
  </si>
  <si>
    <t>* Probable publication bias</t>
  </si>
  <si>
    <t>15-19</t>
  </si>
  <si>
    <t>20-24</t>
  </si>
  <si>
    <t>25-49</t>
  </si>
  <si>
    <t>50+</t>
  </si>
  <si>
    <t>Region</t>
  </si>
  <si>
    <t>KZN</t>
  </si>
  <si>
    <t>Self-Reported Circumcision (2012)</t>
  </si>
  <si>
    <t>South Africa National HIV Prevalence Incidence Behavior Survey</t>
  </si>
  <si>
    <t>5-11</t>
  </si>
  <si>
    <t>12-14</t>
  </si>
  <si>
    <t>Parent reported</t>
  </si>
  <si>
    <t>&lt; 5</t>
  </si>
  <si>
    <t>Percent circumcised</t>
  </si>
  <si>
    <t>Values based on previous study, calibrated to fit age-specific HIV incidence and prevalence data</t>
  </si>
  <si>
    <t>US Census, Stats South Africa</t>
  </si>
  <si>
    <r>
      <t>Initial Population Size (1985)</t>
    </r>
    <r>
      <rPr>
        <sz val="12"/>
        <color theme="1"/>
        <rFont val="Times New Roman"/>
        <family val="1"/>
      </rPr>
      <t xml:space="preserve"> [2, 3]</t>
    </r>
  </si>
  <si>
    <t>Calibrated to fit data</t>
  </si>
  <si>
    <t>1990, prior to generalized HIV epidemic</t>
  </si>
  <si>
    <t>Anderson et al , Ross et al</t>
  </si>
  <si>
    <t>Age specific prevalence and incidence data</t>
  </si>
  <si>
    <t>Age cohort</t>
  </si>
  <si>
    <t>2012 Prevalence</t>
  </si>
  <si>
    <t>2008 Prevalence</t>
  </si>
  <si>
    <t>2005 Incidence</t>
  </si>
  <si>
    <t xml:space="preserve">Male </t>
  </si>
  <si>
    <t>Barnabas et al.</t>
  </si>
  <si>
    <t>Shisana et al.</t>
  </si>
  <si>
    <t>Barnighausen et al.</t>
  </si>
  <si>
    <t>Complete-case HIV prevalence estimates (95 % CI)</t>
  </si>
  <si>
    <t>Imputation-adjusted HIV prevalence estimates (95% CI)</t>
  </si>
  <si>
    <t>ART Coverage estimates (95% CI)</t>
  </si>
  <si>
    <t>Calendar years</t>
  </si>
  <si>
    <t>Age group</t>
  </si>
  <si>
    <t>(years)</t>
  </si>
  <si>
    <t>25-29</t>
  </si>
  <si>
    <t>30-34</t>
  </si>
  <si>
    <t>35-39</t>
  </si>
  <si>
    <t>40-44</t>
  </si>
  <si>
    <t>45-49</t>
  </si>
  <si>
    <t>Zaidi et al.</t>
  </si>
  <si>
    <t>KZN HIV prevalence estimates in women by 5 year age group (imputation adjusted)</t>
  </si>
  <si>
    <t>KZN HIV prevalence in men by five year age group (imputation-adjusted)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</si>
  <si>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</si>
  <si>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</si>
  <si>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</si>
  <si>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</si>
  <si>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</si>
  <si>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</si>
  <si>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</si>
  <si>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</si>
  <si>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Boily MC</t>
  </si>
  <si>
    <t>Valid to use RR from one study and baseline from another study to compute?</t>
  </si>
  <si>
    <t>Years to "failure"</t>
  </si>
  <si>
    <t>Quarterly rates</t>
  </si>
  <si>
    <t>Months</t>
  </si>
  <si>
    <t>Circumcisions</t>
  </si>
  <si>
    <t>Circumcised</t>
  </si>
  <si>
    <t>Condom protection</t>
  </si>
  <si>
    <t>Men</t>
  </si>
  <si>
    <t>Women</t>
  </si>
  <si>
    <t>238 couples from 23 households from each of 20 enumeration areas</t>
  </si>
  <si>
    <t>https://www.guttmacher.org/journals/ipsrh/2005/03/risk-perception-and-condom-use-among-married-or-cohabiting-couples-kwazulu</t>
  </si>
  <si>
    <t>Condom usage rate (consistent to occassional use)</t>
  </si>
  <si>
    <t>Averaged</t>
  </si>
  <si>
    <t>Third National HIV Communication Survey</t>
  </si>
  <si>
    <t>Circumcision rate (KZN)</t>
  </si>
  <si>
    <t>Circumcision Prevalence among Adult Males (KZN)</t>
  </si>
  <si>
    <t>Before 2004 (Bobat et al.)</t>
  </si>
  <si>
    <t>2005 (Rollins et al.)</t>
  </si>
  <si>
    <t>After 2008 (Horwood et al.)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</si>
  <si>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</si>
  <si>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</si>
  <si>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</si>
  <si>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</si>
  <si>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</si>
  <si>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</si>
  <si>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</si>
  <si>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</si>
  <si>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</si>
  <si>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</si>
  <si>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</si>
  <si>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</si>
  <si>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</si>
  <si>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</si>
  <si>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Patel et al.</t>
  </si>
  <si>
    <t>Male (Insertive)</t>
  </si>
  <si>
    <t>Female (Receptive)</t>
  </si>
  <si>
    <t>Vaginal Transmission Probability</t>
  </si>
  <si>
    <t>MTCT</t>
  </si>
  <si>
    <t>http://journals.lww.com/aidsonline/pages/articleviewer.aspx?year=2014&amp;issue=06190&amp;article=00014&amp;type=abstract</t>
  </si>
  <si>
    <t>Cited by CDC: https://www.cdc.gov/hiv/risk/estimates/riskbehaviors.html</t>
  </si>
  <si>
    <t>HIV prevalence</t>
  </si>
  <si>
    <t>Motsoaledi (SA)</t>
  </si>
  <si>
    <t>Barnabas</t>
  </si>
  <si>
    <t>SA DoH (KZN)</t>
  </si>
  <si>
    <t>HIV Prevalence (2)</t>
  </si>
  <si>
    <t>Karim, JAIDS 1992</t>
  </si>
  <si>
    <t>Coleman, JAIDS 1997</t>
  </si>
  <si>
    <t>South African National HIV Prevalence, 2012</t>
  </si>
  <si>
    <t>15-49</t>
  </si>
  <si>
    <t>Coverage</t>
  </si>
  <si>
    <t>Initial Coverage</t>
  </si>
  <si>
    <t>Enrollment</t>
  </si>
  <si>
    <t>ART CD4 &lt; 200</t>
  </si>
  <si>
    <t>ART all HIV+</t>
  </si>
  <si>
    <t>Initial year</t>
  </si>
  <si>
    <t>Final year</t>
  </si>
  <si>
    <t>Transition Rate (years ^ -1) CD4 Stage</t>
  </si>
  <si>
    <t>Transition Rate (years ^ -1) Viral Load Stage</t>
  </si>
  <si>
    <t>MEN</t>
  </si>
  <si>
    <t>WOMEN</t>
  </si>
  <si>
    <t>Prev</t>
  </si>
  <si>
    <t>lower estimate</t>
  </si>
  <si>
    <t>upper estimate</t>
  </si>
  <si>
    <t>N</t>
  </si>
  <si>
    <t>Cumulative</t>
  </si>
  <si>
    <t>Number Initiating ART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</si>
  <si>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</si>
  <si>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</si>
  <si>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</si>
  <si>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</si>
  <si>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</si>
  <si>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</si>
  <si>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</si>
  <si>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</si>
  <si>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</si>
  <si>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CD4 Progression by Viral Load Level</t>
  </si>
  <si>
    <t>VL Progression by CD4 Count</t>
  </si>
  <si>
    <t>60 - 64</t>
  </si>
  <si>
    <t>65- 69</t>
  </si>
  <si>
    <t>70 - 74</t>
  </si>
  <si>
    <t>75 - 79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</si>
</sst>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 "/>
    </font>
    <font>
      <sz val="11"/>
      <color theme="1"/>
      <name val="Calibri "/>
    </font>
    <font>
      <sz val="11"/>
      <color rgb="FF000000"/>
      <name val="Calibri 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wrapText="1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0" xfId="0" applyFill="1" applyBorder="1"/>
    <xf numFmtId="0" fontId="6" fillId="0" borderId="0" xfId="0" applyFont="1"/>
    <xf numFmtId="0" fontId="6" fillId="0" borderId="10" xfId="0" applyFont="1" applyBorder="1"/>
    <xf numFmtId="0" fontId="6" fillId="2" borderId="10" xfId="0" applyFont="1" applyFill="1" applyBorder="1"/>
    <xf numFmtId="0" fontId="0" fillId="2" borderId="10" xfId="0" applyFill="1" applyBorder="1"/>
    <xf numFmtId="49" fontId="0" fillId="0" borderId="10" xfId="0" applyNumberFormat="1" applyBorder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 vertical="top" wrapText="1"/>
    </xf>
    <xf numFmtId="0" fontId="10" fillId="0" borderId="0" xfId="0" applyFont="1"/>
    <xf numFmtId="0" fontId="11" fillId="3" borderId="10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center" vertical="top" wrapText="1"/>
    </xf>
    <xf numFmtId="0" fontId="10" fillId="0" borderId="10" xfId="0" applyFont="1" applyBorder="1"/>
    <xf numFmtId="10" fontId="0" fillId="0" borderId="10" xfId="0" applyNumberFormat="1" applyBorder="1"/>
    <xf numFmtId="0" fontId="8" fillId="0" borderId="10" xfId="0" applyFont="1" applyBorder="1" applyAlignment="1">
      <alignment vertical="center" wrapText="1"/>
    </xf>
    <xf numFmtId="0" fontId="0" fillId="0" borderId="10" xfId="0" applyFont="1" applyBorder="1"/>
    <xf numFmtId="0" fontId="12" fillId="0" borderId="10" xfId="0" applyFont="1" applyBorder="1" applyAlignment="1">
      <alignment vertical="center" wrapText="1"/>
    </xf>
    <xf numFmtId="0" fontId="0" fillId="0" borderId="12" xfId="0" applyFill="1" applyBorder="1"/>
    <xf numFmtId="0" fontId="13" fillId="3" borderId="10" xfId="0" applyFont="1" applyFill="1" applyBorder="1" applyAlignment="1">
      <alignment vertical="center" wrapText="1"/>
    </xf>
    <xf numFmtId="0" fontId="13" fillId="0" borderId="10" xfId="0" applyFont="1" applyBorder="1" applyAlignment="1"/>
    <xf numFmtId="0" fontId="0" fillId="0" borderId="0" xfId="0" applyFill="1" applyBorder="1"/>
    <xf numFmtId="0" fontId="6" fillId="0" borderId="0" xfId="0" applyFont="1" applyBorder="1"/>
    <xf numFmtId="0" fontId="2" fillId="0" borderId="10" xfId="0" applyFont="1" applyBorder="1" applyAlignment="1">
      <alignment vertical="center" wrapText="1"/>
    </xf>
    <xf numFmtId="0" fontId="7" fillId="0" borderId="10" xfId="0" applyFont="1" applyBorder="1"/>
    <xf numFmtId="0" fontId="2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0" fillId="4" borderId="10" xfId="0" applyFill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10" xfId="0" applyFont="1" applyFill="1" applyBorder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4" borderId="0" xfId="0" applyFill="1"/>
    <xf numFmtId="10" fontId="0" fillId="4" borderId="0" xfId="0" applyNumberFormat="1" applyFill="1"/>
    <xf numFmtId="0" fontId="0" fillId="0" borderId="0" xfId="0"/>
    <xf numFmtId="0" fontId="0" fillId="0" borderId="0" xfId="0"/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2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146050</xdr:colOff>
      <xdr:row>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2410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0</xdr:row>
      <xdr:rowOff>0</xdr:rowOff>
    </xdr:from>
    <xdr:to>
      <xdr:col>41</xdr:col>
      <xdr:colOff>133350</xdr:colOff>
      <xdr:row>0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50241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1058582</xdr:colOff>
      <xdr:row>47</xdr:row>
      <xdr:rowOff>171453</xdr:rowOff>
    </xdr:from>
    <xdr:to>
      <xdr:col>47</xdr:col>
      <xdr:colOff>297702</xdr:colOff>
      <xdr:row>57</xdr:row>
      <xdr:rowOff>67239</xdr:rowOff>
    </xdr:to>
    <xdr:sp macro="" textlink="">
      <xdr:nvSpPr>
        <xdr:cNvPr id="2" name="TextBox 1"/>
        <xdr:cNvSpPr txBox="1"/>
      </xdr:nvSpPr>
      <xdr:spPr>
        <a:xfrm>
          <a:off x="34452111" y="12311159"/>
          <a:ext cx="6478120" cy="176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3"/>
  <sheetViews>
    <sheetView workbookViewId="0">
      <selection activeCell="AE33" sqref="AD33:AE39"/>
    </sheetView>
  </sheetViews>
  <sheetFormatPr defaultRowHeight="14.5"/>
  <cols>
    <col min="1" max="1" width="17.453125" customWidth="1"/>
    <col min="2" max="2" width="11.1796875" customWidth="1"/>
    <col min="3" max="3" width="10.90625" customWidth="1"/>
    <col min="6" max="6" width="16.90625" customWidth="1"/>
    <col min="12" max="12" width="8.6328125" bestFit="1" customWidth="1"/>
    <col min="16" max="16" width="17.7265625" customWidth="1"/>
    <col min="17" max="17" width="19.90625" customWidth="1"/>
    <col min="18" max="18" width="14.90625" bestFit="1" customWidth="1"/>
    <col min="19" max="19" width="11.90625" bestFit="1" customWidth="1"/>
    <col min="20" max="20" width="11.90625" customWidth="1"/>
    <col min="21" max="21" width="15.453125" customWidth="1"/>
    <col min="22" max="22" width="15.81640625" bestFit="1" customWidth="1"/>
    <col min="25" max="25" width="14.1796875" customWidth="1"/>
    <col min="27" max="27" width="12.26953125" customWidth="1"/>
    <col min="30" max="30" width="10.90625" customWidth="1"/>
    <col min="40" max="40" width="15.90625" customWidth="1"/>
  </cols>
  <sheetData>
    <row r="1" spans="1:42" ht="60.5" thickBot="1">
      <c r="A1" s="1" t="s">
        <v>99</v>
      </c>
      <c r="B1" s="2" t="s">
        <v>0</v>
      </c>
      <c r="C1" s="2" t="s">
        <v>1</v>
      </c>
      <c r="F1" s="79" t="s">
        <v>14</v>
      </c>
      <c r="G1" s="80" t="s">
        <v>0</v>
      </c>
      <c r="H1" s="80"/>
      <c r="I1" s="80"/>
      <c r="J1" s="80" t="s">
        <v>1</v>
      </c>
      <c r="K1" s="80"/>
      <c r="L1" s="80"/>
      <c r="O1" s="81" t="s">
        <v>19</v>
      </c>
      <c r="P1" s="77" t="s">
        <v>20</v>
      </c>
      <c r="Q1" s="77" t="s">
        <v>21</v>
      </c>
      <c r="R1" s="74" t="s">
        <v>22</v>
      </c>
      <c r="S1" s="75"/>
      <c r="T1" s="75"/>
      <c r="U1" s="75"/>
      <c r="V1" s="76"/>
      <c r="Y1" s="5" t="s">
        <v>39</v>
      </c>
      <c r="Z1" s="13" t="s">
        <v>0</v>
      </c>
      <c r="AA1" s="6"/>
      <c r="AB1" s="2"/>
      <c r="AC1" s="13" t="s">
        <v>1</v>
      </c>
      <c r="AD1" s="6"/>
      <c r="AE1" s="2"/>
      <c r="AH1" s="1" t="s">
        <v>40</v>
      </c>
      <c r="AI1" s="2" t="s">
        <v>15</v>
      </c>
      <c r="AJ1" s="2" t="s">
        <v>16</v>
      </c>
      <c r="AK1" s="2" t="s">
        <v>17</v>
      </c>
      <c r="AN1" s="1" t="s">
        <v>41</v>
      </c>
      <c r="AO1" s="2" t="s">
        <v>42</v>
      </c>
      <c r="AP1" s="2" t="s">
        <v>43</v>
      </c>
    </row>
    <row r="2" spans="1:42" ht="31.5" thickBot="1">
      <c r="A2" s="3" t="s">
        <v>2</v>
      </c>
      <c r="B2" s="4">
        <v>418189</v>
      </c>
      <c r="C2" s="4">
        <v>417311</v>
      </c>
      <c r="F2" s="79"/>
      <c r="G2" s="54" t="s">
        <v>15</v>
      </c>
      <c r="H2" s="54" t="s">
        <v>16</v>
      </c>
      <c r="I2" s="54" t="s">
        <v>17</v>
      </c>
      <c r="J2" s="54" t="s">
        <v>15</v>
      </c>
      <c r="K2" s="54" t="s">
        <v>16</v>
      </c>
      <c r="L2" s="54" t="s">
        <v>17</v>
      </c>
      <c r="O2" s="82"/>
      <c r="P2" s="84"/>
      <c r="Q2" s="84"/>
      <c r="R2" s="77" t="s">
        <v>23</v>
      </c>
      <c r="S2" s="77" t="s">
        <v>24</v>
      </c>
      <c r="T2" s="9" t="s">
        <v>25</v>
      </c>
      <c r="U2" s="9" t="s">
        <v>27</v>
      </c>
      <c r="V2" s="77" t="s">
        <v>29</v>
      </c>
      <c r="Y2" s="11"/>
      <c r="Z2" s="7" t="s">
        <v>15</v>
      </c>
      <c r="AA2" s="7" t="s">
        <v>16</v>
      </c>
      <c r="AB2" s="7" t="s">
        <v>17</v>
      </c>
      <c r="AC2" s="7" t="s">
        <v>15</v>
      </c>
      <c r="AD2" s="7" t="s">
        <v>16</v>
      </c>
      <c r="AE2" s="7" t="s">
        <v>17</v>
      </c>
      <c r="AH2" s="3" t="s">
        <v>0</v>
      </c>
      <c r="AI2" s="4">
        <v>99</v>
      </c>
      <c r="AJ2" s="4">
        <v>33</v>
      </c>
      <c r="AK2" s="4">
        <v>3.3</v>
      </c>
      <c r="AM2" t="s">
        <v>59</v>
      </c>
      <c r="AN2" s="3">
        <v>1998</v>
      </c>
      <c r="AO2" s="4">
        <v>0.7</v>
      </c>
      <c r="AP2" s="4">
        <v>0.7</v>
      </c>
    </row>
    <row r="3" spans="1:42" ht="33.5" customHeight="1" thickBot="1">
      <c r="A3" s="3" t="s">
        <v>3</v>
      </c>
      <c r="B3" s="4">
        <v>361938</v>
      </c>
      <c r="C3" s="4">
        <v>361594</v>
      </c>
      <c r="F3" s="19" t="s">
        <v>2</v>
      </c>
      <c r="G3" s="19">
        <v>0.999</v>
      </c>
      <c r="H3" s="19">
        <v>5.0000000000000001E-4</v>
      </c>
      <c r="I3" s="19">
        <v>5.0000000000000001E-4</v>
      </c>
      <c r="J3" s="19">
        <v>0.999</v>
      </c>
      <c r="K3" s="19">
        <v>5.0000000000000001E-4</v>
      </c>
      <c r="L3" s="19">
        <v>5.0000000000000001E-4</v>
      </c>
      <c r="O3" s="83"/>
      <c r="P3" s="78"/>
      <c r="Q3" s="78"/>
      <c r="R3" s="78"/>
      <c r="S3" s="78"/>
      <c r="T3" s="7" t="s">
        <v>26</v>
      </c>
      <c r="U3" s="7" t="s">
        <v>28</v>
      </c>
      <c r="V3" s="78"/>
      <c r="Y3" s="3" t="s">
        <v>2</v>
      </c>
      <c r="Z3" s="4">
        <v>1E-4</v>
      </c>
      <c r="AA3" s="4">
        <v>1E-4</v>
      </c>
      <c r="AB3" s="4">
        <v>1E-4</v>
      </c>
      <c r="AC3" s="4">
        <v>1E-4</v>
      </c>
      <c r="AD3" s="4">
        <v>1E-4</v>
      </c>
      <c r="AE3" s="4">
        <v>1E-4</v>
      </c>
      <c r="AH3" s="3" t="s">
        <v>1</v>
      </c>
      <c r="AI3" s="4">
        <v>77</v>
      </c>
      <c r="AJ3" s="4">
        <v>22</v>
      </c>
      <c r="AK3" s="4">
        <v>3.3</v>
      </c>
      <c r="AN3" s="3">
        <v>2003</v>
      </c>
      <c r="AO3" s="4">
        <v>0.5</v>
      </c>
      <c r="AP3" s="4">
        <v>0.5</v>
      </c>
    </row>
    <row r="4" spans="1:42" ht="16" thickBot="1">
      <c r="A4" s="3" t="s">
        <v>4</v>
      </c>
      <c r="B4" s="4">
        <v>327171</v>
      </c>
      <c r="C4" s="4">
        <v>329333</v>
      </c>
      <c r="F4" s="19" t="s">
        <v>3</v>
      </c>
      <c r="G4" s="19">
        <v>0.999</v>
      </c>
      <c r="H4" s="19">
        <v>5.0000000000000001E-4</v>
      </c>
      <c r="I4" s="19">
        <v>5.0000000000000001E-4</v>
      </c>
      <c r="J4" s="19">
        <v>0.999</v>
      </c>
      <c r="K4" s="19">
        <v>5.0000000000000001E-4</v>
      </c>
      <c r="L4" s="19">
        <v>5.0000000000000001E-4</v>
      </c>
      <c r="N4" t="s">
        <v>56</v>
      </c>
      <c r="O4" s="3" t="s">
        <v>2</v>
      </c>
      <c r="P4" s="4">
        <v>9.1999999999999998E-3</v>
      </c>
      <c r="Q4" s="4">
        <v>9.1999999999999998E-3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Y4" s="3" t="s">
        <v>3</v>
      </c>
      <c r="Z4" s="4">
        <v>1.1999999999999999E-3</v>
      </c>
      <c r="AA4" s="4">
        <v>1.2E-2</v>
      </c>
      <c r="AB4" s="4">
        <v>0.12</v>
      </c>
      <c r="AC4" s="4">
        <v>1.1999999999999999E-3</v>
      </c>
      <c r="AD4" s="4">
        <v>1.2E-2</v>
      </c>
      <c r="AE4" s="4">
        <v>0.12</v>
      </c>
      <c r="AM4" t="s">
        <v>58</v>
      </c>
      <c r="AN4" s="3">
        <v>2010</v>
      </c>
      <c r="AO4" s="4">
        <v>0.3</v>
      </c>
      <c r="AP4" s="4">
        <v>0.3</v>
      </c>
    </row>
    <row r="5" spans="1:42" ht="16" thickBot="1">
      <c r="A5" s="3" t="s">
        <v>5</v>
      </c>
      <c r="B5" s="4">
        <v>289627</v>
      </c>
      <c r="C5" s="4">
        <v>296947</v>
      </c>
      <c r="F5" s="19" t="s">
        <v>4</v>
      </c>
      <c r="G5" s="19">
        <v>0.98</v>
      </c>
      <c r="H5" s="19">
        <v>1.4999999999999999E-2</v>
      </c>
      <c r="I5" s="19">
        <v>5.0000000000000001E-3</v>
      </c>
      <c r="J5" s="19">
        <v>0.98</v>
      </c>
      <c r="K5" s="19">
        <v>1.4999999999999999E-2</v>
      </c>
      <c r="L5" s="19">
        <v>5.0000000000000001E-3</v>
      </c>
      <c r="O5" s="3" t="s">
        <v>3</v>
      </c>
      <c r="P5" s="4">
        <v>5.2999999999999998E-4</v>
      </c>
      <c r="Q5" s="4">
        <v>4.0000000000000002E-4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Y5" s="3" t="s">
        <v>4</v>
      </c>
      <c r="Z5" s="4">
        <v>1.2E-2</v>
      </c>
      <c r="AA5" s="4">
        <v>0.12</v>
      </c>
      <c r="AB5" s="4">
        <v>1.2</v>
      </c>
      <c r="AC5" s="4">
        <v>1.2E-2</v>
      </c>
      <c r="AD5" s="4">
        <v>0.12</v>
      </c>
      <c r="AE5" s="4">
        <v>1.2</v>
      </c>
      <c r="AH5" t="s">
        <v>100</v>
      </c>
    </row>
    <row r="6" spans="1:42" ht="16" thickBot="1">
      <c r="A6" s="3" t="s">
        <v>6</v>
      </c>
      <c r="B6" s="4">
        <v>262704</v>
      </c>
      <c r="C6" s="4">
        <v>273204</v>
      </c>
      <c r="F6" s="19" t="s">
        <v>5</v>
      </c>
      <c r="G6" s="19">
        <v>0.8</v>
      </c>
      <c r="H6" s="19">
        <v>0.17</v>
      </c>
      <c r="I6" s="19">
        <v>0.03</v>
      </c>
      <c r="J6" s="19">
        <v>0.85</v>
      </c>
      <c r="K6" s="19">
        <v>0.13</v>
      </c>
      <c r="L6" s="19">
        <v>0.02</v>
      </c>
      <c r="O6" s="3" t="s">
        <v>4</v>
      </c>
      <c r="P6" s="4">
        <v>5.5999999999999995E-4</v>
      </c>
      <c r="Q6" s="4">
        <v>4.2999999999999999E-4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Y6" s="3" t="s">
        <v>5</v>
      </c>
      <c r="Z6" s="4">
        <v>0.14000000000000001</v>
      </c>
      <c r="AA6" s="4">
        <v>3.6</v>
      </c>
      <c r="AB6" s="4">
        <v>84</v>
      </c>
      <c r="AC6" s="4">
        <v>0.24</v>
      </c>
      <c r="AD6" s="4">
        <v>3.6</v>
      </c>
      <c r="AE6" s="4">
        <v>67.2</v>
      </c>
      <c r="AN6" t="s">
        <v>100</v>
      </c>
    </row>
    <row r="7" spans="1:42" ht="16" thickBot="1">
      <c r="A7" s="3" t="s">
        <v>7</v>
      </c>
      <c r="B7" s="4">
        <v>235673</v>
      </c>
      <c r="C7" s="4">
        <v>249396</v>
      </c>
      <c r="F7" s="19" t="s">
        <v>6</v>
      </c>
      <c r="G7" s="19">
        <v>0.78</v>
      </c>
      <c r="H7" s="19">
        <v>0.2</v>
      </c>
      <c r="I7" s="19">
        <v>0.02</v>
      </c>
      <c r="J7" s="19">
        <v>0.75</v>
      </c>
      <c r="K7" s="19">
        <v>0.22</v>
      </c>
      <c r="L7" s="19">
        <v>0.03</v>
      </c>
      <c r="O7" s="3" t="s">
        <v>5</v>
      </c>
      <c r="P7" s="4">
        <v>1.83E-3</v>
      </c>
      <c r="Q7" s="4">
        <v>7.6000000000000004E-4</v>
      </c>
      <c r="R7" s="4">
        <v>0.17499999999999999</v>
      </c>
      <c r="S7" s="4">
        <v>0.13819999999999999</v>
      </c>
      <c r="T7" s="4">
        <v>7.8799999999999995E-2</v>
      </c>
      <c r="U7" s="4">
        <v>4.7300000000000002E-2</v>
      </c>
      <c r="V7" s="4">
        <v>3.32E-2</v>
      </c>
      <c r="Y7" s="3" t="s">
        <v>6</v>
      </c>
      <c r="Z7" s="4">
        <v>0.42</v>
      </c>
      <c r="AA7" s="4">
        <v>4.8</v>
      </c>
      <c r="AB7" s="4">
        <v>96</v>
      </c>
      <c r="AC7" s="4">
        <v>0.6</v>
      </c>
      <c r="AD7" s="4">
        <v>4.8</v>
      </c>
      <c r="AE7" s="4">
        <v>103.2</v>
      </c>
    </row>
    <row r="8" spans="1:42" ht="16" thickBot="1">
      <c r="A8" s="3" t="s">
        <v>8</v>
      </c>
      <c r="B8" s="4">
        <v>197816</v>
      </c>
      <c r="C8" s="4">
        <v>211839</v>
      </c>
      <c r="F8" s="19" t="s">
        <v>7</v>
      </c>
      <c r="G8" s="19">
        <v>0.65</v>
      </c>
      <c r="H8" s="19">
        <v>0.28000000000000003</v>
      </c>
      <c r="I8" s="19">
        <v>7.0000000000000007E-2</v>
      </c>
      <c r="J8" s="19">
        <v>0.68</v>
      </c>
      <c r="K8" s="19">
        <v>0.27</v>
      </c>
      <c r="L8" s="19">
        <v>0.05</v>
      </c>
      <c r="O8" s="3" t="s">
        <v>6</v>
      </c>
      <c r="P8" s="4">
        <v>3.98E-3</v>
      </c>
      <c r="Q8" s="4">
        <v>1.2999999999999999E-3</v>
      </c>
      <c r="R8" s="4">
        <v>0.313</v>
      </c>
      <c r="S8" s="4">
        <v>0.24729999999999999</v>
      </c>
      <c r="T8" s="4">
        <v>0.1409</v>
      </c>
      <c r="U8" s="4">
        <v>8.4500000000000006E-2</v>
      </c>
      <c r="V8" s="4">
        <v>5.9499999999999997E-2</v>
      </c>
      <c r="Y8" s="3" t="s">
        <v>7</v>
      </c>
      <c r="Z8" s="4">
        <v>1.1399999999999999</v>
      </c>
      <c r="AA8" s="4">
        <v>8.4</v>
      </c>
      <c r="AB8" s="4">
        <v>120</v>
      </c>
      <c r="AC8" s="4">
        <v>0.78</v>
      </c>
      <c r="AD8" s="4">
        <v>8.4</v>
      </c>
      <c r="AE8" s="4">
        <v>120</v>
      </c>
    </row>
    <row r="9" spans="1:42" ht="16" thickBot="1">
      <c r="A9" s="3" t="s">
        <v>9</v>
      </c>
      <c r="B9" s="4">
        <v>160952</v>
      </c>
      <c r="C9" s="4">
        <v>176470</v>
      </c>
      <c r="F9" s="19" t="s">
        <v>18</v>
      </c>
      <c r="G9" s="19">
        <v>0.55000000000000004</v>
      </c>
      <c r="H9" s="19">
        <v>0.35</v>
      </c>
      <c r="I9" s="19">
        <v>0.1</v>
      </c>
      <c r="J9" s="19">
        <v>0.72</v>
      </c>
      <c r="K9" s="19">
        <v>0.23</v>
      </c>
      <c r="L9" s="19">
        <v>0.05</v>
      </c>
      <c r="O9" s="3" t="s">
        <v>7</v>
      </c>
      <c r="P9" s="4">
        <v>5.1399999999999996E-3</v>
      </c>
      <c r="Q9" s="4">
        <v>1.83E-3</v>
      </c>
      <c r="R9" s="4">
        <v>0.32400000000000001</v>
      </c>
      <c r="S9" s="4">
        <v>0.25600000000000001</v>
      </c>
      <c r="T9" s="4">
        <v>0.14580000000000001</v>
      </c>
      <c r="U9" s="4">
        <v>8.7499999999999994E-2</v>
      </c>
      <c r="V9" s="4">
        <v>6.1600000000000002E-2</v>
      </c>
      <c r="Y9" s="3" t="s">
        <v>18</v>
      </c>
      <c r="Z9" s="4">
        <v>1.32</v>
      </c>
      <c r="AA9" s="4">
        <v>9.6</v>
      </c>
      <c r="AB9" s="4">
        <v>126</v>
      </c>
      <c r="AC9" s="4">
        <v>0.74</v>
      </c>
      <c r="AD9" s="4">
        <v>7.2</v>
      </c>
      <c r="AE9" s="4">
        <v>122.4</v>
      </c>
    </row>
    <row r="10" spans="1:42" ht="16" thickBot="1">
      <c r="A10" s="3" t="s">
        <v>10</v>
      </c>
      <c r="B10" s="4">
        <v>132311</v>
      </c>
      <c r="C10" s="4">
        <v>143351</v>
      </c>
      <c r="F10" s="19" t="s">
        <v>9</v>
      </c>
      <c r="G10" s="19">
        <v>0.65</v>
      </c>
      <c r="H10" s="19">
        <v>0.28000000000000003</v>
      </c>
      <c r="I10" s="19">
        <v>7.0000000000000007E-2</v>
      </c>
      <c r="J10" s="19">
        <v>0.75</v>
      </c>
      <c r="K10" s="19">
        <v>0.2</v>
      </c>
      <c r="L10" s="19">
        <v>0.05</v>
      </c>
      <c r="O10" s="3" t="s">
        <v>18</v>
      </c>
      <c r="P10" s="4">
        <v>6.0600000000000003E-3</v>
      </c>
      <c r="Q10" s="4">
        <v>2.5200000000000001E-3</v>
      </c>
      <c r="R10" s="4">
        <v>0.27100000000000002</v>
      </c>
      <c r="S10" s="4">
        <v>0.21410000000000001</v>
      </c>
      <c r="T10" s="4">
        <v>0.1221</v>
      </c>
      <c r="U10" s="4">
        <v>7.3200000000000001E-2</v>
      </c>
      <c r="V10" s="4">
        <v>5.1499999999999997E-2</v>
      </c>
      <c r="Y10" s="3" t="s">
        <v>9</v>
      </c>
      <c r="Z10" s="4">
        <v>1.1200000000000001</v>
      </c>
      <c r="AA10" s="4">
        <v>8.4</v>
      </c>
      <c r="AB10" s="4">
        <v>108</v>
      </c>
      <c r="AC10" s="4">
        <v>0.71</v>
      </c>
      <c r="AD10" s="4">
        <v>7.2</v>
      </c>
      <c r="AE10" s="4">
        <v>111.6</v>
      </c>
    </row>
    <row r="11" spans="1:42" ht="16" thickBot="1">
      <c r="A11" s="3" t="s">
        <v>11</v>
      </c>
      <c r="B11" s="4">
        <v>110849</v>
      </c>
      <c r="C11" s="4">
        <v>123441</v>
      </c>
      <c r="F11" s="19" t="s">
        <v>10</v>
      </c>
      <c r="G11" s="19">
        <v>0.71</v>
      </c>
      <c r="H11" s="19">
        <v>0.23</v>
      </c>
      <c r="I11" s="19">
        <v>0.06</v>
      </c>
      <c r="J11" s="19">
        <v>0.79</v>
      </c>
      <c r="K11" s="19">
        <v>0.16</v>
      </c>
      <c r="L11" s="19">
        <v>0.05</v>
      </c>
      <c r="O11" s="3" t="s">
        <v>9</v>
      </c>
      <c r="P11" s="4">
        <v>7.1500000000000001E-3</v>
      </c>
      <c r="Q11" s="4">
        <v>3.15E-3</v>
      </c>
      <c r="R11" s="4">
        <v>0.20100000000000001</v>
      </c>
      <c r="S11" s="4">
        <v>0.1588</v>
      </c>
      <c r="T11" s="4">
        <v>9.0499999999999997E-2</v>
      </c>
      <c r="U11" s="4">
        <v>5.4300000000000001E-2</v>
      </c>
      <c r="V11" s="4">
        <v>3.8199999999999998E-2</v>
      </c>
      <c r="Y11" s="3" t="s">
        <v>10</v>
      </c>
      <c r="Z11" s="4">
        <v>1.08</v>
      </c>
      <c r="AA11" s="4">
        <v>7.2</v>
      </c>
      <c r="AB11" s="4">
        <v>102</v>
      </c>
      <c r="AC11" s="4">
        <v>0.66</v>
      </c>
      <c r="AD11" s="4">
        <v>6</v>
      </c>
      <c r="AE11" s="4">
        <v>102</v>
      </c>
    </row>
    <row r="12" spans="1:42" ht="16" thickBot="1">
      <c r="A12" s="3" t="s">
        <v>12</v>
      </c>
      <c r="B12" s="4">
        <v>89027</v>
      </c>
      <c r="C12" s="4">
        <v>98355</v>
      </c>
      <c r="F12" s="19" t="s">
        <v>11</v>
      </c>
      <c r="G12" s="19">
        <v>0.78</v>
      </c>
      <c r="H12" s="19">
        <v>0.17</v>
      </c>
      <c r="I12" s="19">
        <v>0.05</v>
      </c>
      <c r="J12" s="19">
        <v>0.8</v>
      </c>
      <c r="K12" s="19">
        <v>0.16</v>
      </c>
      <c r="L12" s="19">
        <v>0.04</v>
      </c>
      <c r="O12" s="3" t="s">
        <v>10</v>
      </c>
      <c r="P12" s="4">
        <v>9.5200000000000007E-3</v>
      </c>
      <c r="Q12" s="4">
        <v>4.4799999999999996E-3</v>
      </c>
      <c r="R12" s="4">
        <v>0.125</v>
      </c>
      <c r="S12" s="4">
        <v>9.8799999999999999E-2</v>
      </c>
      <c r="T12" s="4">
        <v>5.6300000000000003E-2</v>
      </c>
      <c r="U12" s="4">
        <v>3.3799999999999997E-2</v>
      </c>
      <c r="V12" s="4">
        <v>2.3800000000000002E-2</v>
      </c>
      <c r="Y12" s="3" t="s">
        <v>11</v>
      </c>
      <c r="Z12" s="4">
        <v>0.96</v>
      </c>
      <c r="AA12" s="4">
        <v>4.8</v>
      </c>
      <c r="AB12" s="4">
        <v>90</v>
      </c>
      <c r="AC12" s="4">
        <v>0.56000000000000005</v>
      </c>
      <c r="AD12" s="4">
        <v>6</v>
      </c>
      <c r="AE12" s="4">
        <v>90</v>
      </c>
    </row>
    <row r="13" spans="1:42" ht="16" thickBot="1">
      <c r="A13" s="3" t="s">
        <v>13</v>
      </c>
      <c r="B13" s="4">
        <v>70487</v>
      </c>
      <c r="C13" s="4">
        <v>82330</v>
      </c>
      <c r="F13" s="19" t="s">
        <v>12</v>
      </c>
      <c r="G13" s="19">
        <v>0.87</v>
      </c>
      <c r="H13" s="19">
        <v>0.09</v>
      </c>
      <c r="I13" s="19">
        <v>0.04</v>
      </c>
      <c r="J13" s="19">
        <v>0.9</v>
      </c>
      <c r="K13" s="19">
        <v>0.08</v>
      </c>
      <c r="L13" s="19">
        <v>0.02</v>
      </c>
      <c r="O13" s="3" t="s">
        <v>11</v>
      </c>
      <c r="P13" s="4">
        <v>1.1780000000000001E-2</v>
      </c>
      <c r="Q13" s="4">
        <v>5.7600000000000004E-3</v>
      </c>
      <c r="R13" s="4">
        <v>5.2999999999999999E-2</v>
      </c>
      <c r="S13" s="4">
        <v>4.19E-2</v>
      </c>
      <c r="T13" s="4">
        <v>2.3900000000000001E-2</v>
      </c>
      <c r="U13" s="4">
        <v>1.43E-2</v>
      </c>
      <c r="V13" s="4">
        <v>1.01E-2</v>
      </c>
      <c r="Y13" s="3" t="s">
        <v>12</v>
      </c>
      <c r="Z13" s="4">
        <v>1.02</v>
      </c>
      <c r="AA13" s="4">
        <v>6</v>
      </c>
      <c r="AB13" s="4">
        <v>96</v>
      </c>
      <c r="AC13" s="4">
        <v>0.4</v>
      </c>
      <c r="AD13" s="4">
        <v>4.8</v>
      </c>
      <c r="AE13" s="4">
        <v>62.4</v>
      </c>
    </row>
    <row r="14" spans="1:42" ht="16" thickBot="1">
      <c r="F14" s="19" t="s">
        <v>13</v>
      </c>
      <c r="G14" s="19">
        <v>0.95</v>
      </c>
      <c r="H14" s="19">
        <v>0.04</v>
      </c>
      <c r="I14" s="19">
        <v>0.01</v>
      </c>
      <c r="J14" s="19">
        <v>0.95</v>
      </c>
      <c r="K14" s="19">
        <v>0.04</v>
      </c>
      <c r="L14" s="19">
        <v>0.01</v>
      </c>
      <c r="O14" s="3" t="s">
        <v>12</v>
      </c>
      <c r="P14" s="4">
        <v>1.711E-2</v>
      </c>
      <c r="Q14" s="4">
        <v>9.6399999999999993E-3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Y14" s="3" t="s">
        <v>13</v>
      </c>
      <c r="Z14" s="4">
        <v>0.84</v>
      </c>
      <c r="AA14" s="4">
        <v>3.6</v>
      </c>
      <c r="AB14" s="4">
        <v>72</v>
      </c>
      <c r="AC14" s="4">
        <v>0.12</v>
      </c>
      <c r="AD14" s="4">
        <v>0.6</v>
      </c>
      <c r="AE14" s="4">
        <v>12</v>
      </c>
    </row>
    <row r="15" spans="1:42" ht="31.5" thickBot="1">
      <c r="A15" s="22" t="s">
        <v>98</v>
      </c>
      <c r="F15" s="22" t="s">
        <v>100</v>
      </c>
      <c r="O15" s="3" t="s">
        <v>13</v>
      </c>
      <c r="P15" s="4">
        <v>2.0809999999999999E-2</v>
      </c>
      <c r="Q15" s="4">
        <v>1.2930000000000001E-2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42" ht="15.5">
      <c r="Y16" s="38" t="s">
        <v>97</v>
      </c>
    </row>
    <row r="17" spans="12:25" ht="15.5">
      <c r="O17" s="38" t="s">
        <v>101</v>
      </c>
      <c r="R17" t="s">
        <v>102</v>
      </c>
      <c r="Y17" s="37"/>
    </row>
    <row r="26" spans="12:25" ht="15.5">
      <c r="L26" s="12"/>
    </row>
    <row r="53" ht="16" customHeight="1"/>
  </sheetData>
  <mergeCells count="10">
    <mergeCell ref="R1:V1"/>
    <mergeCell ref="R2:R3"/>
    <mergeCell ref="S2:S3"/>
    <mergeCell ref="V2:V3"/>
    <mergeCell ref="F1:F2"/>
    <mergeCell ref="G1:I1"/>
    <mergeCell ref="J1:L1"/>
    <mergeCell ref="O1:O3"/>
    <mergeCell ref="P1:P3"/>
    <mergeCell ref="Q1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43"/>
  <sheetViews>
    <sheetView tabSelected="1" zoomScale="85" zoomScaleNormal="85" workbookViewId="0">
      <selection activeCell="A15" sqref="A15:A18"/>
    </sheetView>
  </sheetViews>
  <sheetFormatPr defaultRowHeight="14.5"/>
  <cols>
    <col min="1" max="1" width="29.7265625" customWidth="1"/>
    <col min="2" max="2" width="11.81640625" customWidth="1"/>
    <col min="3" max="3" width="20.453125" customWidth="1"/>
    <col min="4" max="4" width="18.54296875" customWidth="1"/>
    <col min="5" max="5" width="11.453125" customWidth="1"/>
    <col min="6" max="6" width="15.453125" customWidth="1"/>
    <col min="7" max="7" width="35.54296875" bestFit="1" customWidth="1"/>
    <col min="8" max="8" width="16.1796875" customWidth="1"/>
    <col min="9" max="12" width="8.7265625" customWidth="1"/>
    <col min="13" max="13" width="9" bestFit="1" customWidth="1"/>
    <col min="20" max="20" width="16.08984375" customWidth="1"/>
    <col min="27" max="27" width="14.90625" customWidth="1"/>
    <col min="28" max="28" width="12.54296875" customWidth="1"/>
    <col min="29" max="29" width="12.6328125" customWidth="1"/>
    <col min="30" max="30" width="13.81640625" customWidth="1"/>
    <col min="36" max="36" width="14.453125" customWidth="1"/>
    <col min="37" max="37" width="14.6328125" customWidth="1"/>
    <col min="38" max="38" width="18.08984375" customWidth="1"/>
    <col min="40" max="40" width="16.26953125" bestFit="1" customWidth="1"/>
    <col min="41" max="41" width="12.36328125" bestFit="1" customWidth="1"/>
    <col min="42" max="42" width="6.26953125" bestFit="1" customWidth="1"/>
    <col min="43" max="44" width="12.7265625" bestFit="1" customWidth="1"/>
    <col min="45" max="45" width="14.7265625" bestFit="1" customWidth="1"/>
    <col min="46" max="46" width="14.1796875" customWidth="1"/>
    <col min="47" max="47" width="14.26953125" bestFit="1" customWidth="1"/>
    <col min="48" max="48" width="12.08984375" customWidth="1"/>
    <col min="49" max="49" width="13.1796875" customWidth="1"/>
    <col min="51" max="51" width="14.26953125" bestFit="1" customWidth="1"/>
    <col min="52" max="52" width="18" customWidth="1"/>
    <col min="53" max="53" width="13.36328125" customWidth="1"/>
    <col min="54" max="54" width="13.453125" bestFit="1" customWidth="1"/>
    <col min="55" max="55" width="11.36328125" customWidth="1"/>
    <col min="56" max="56" width="18.1796875" bestFit="1" customWidth="1"/>
    <col min="57" max="57" width="15" bestFit="1" customWidth="1"/>
    <col min="58" max="58" width="15.26953125" bestFit="1" customWidth="1"/>
  </cols>
  <sheetData>
    <row r="1" spans="1:58" ht="61" customHeight="1" thickBot="1">
      <c r="A1" s="25" t="s">
        <v>67</v>
      </c>
      <c r="D1" s="26"/>
      <c r="E1" s="26"/>
      <c r="G1" s="10" t="s">
        <v>33</v>
      </c>
      <c r="H1" s="10" t="s">
        <v>60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69</v>
      </c>
      <c r="P1" s="56" t="s">
        <v>37</v>
      </c>
      <c r="Q1" s="57" t="s">
        <v>38</v>
      </c>
      <c r="T1" s="1" t="s">
        <v>34</v>
      </c>
      <c r="U1" s="2" t="s">
        <v>30</v>
      </c>
      <c r="V1" s="2" t="s">
        <v>31</v>
      </c>
      <c r="W1" s="2" t="s">
        <v>32</v>
      </c>
      <c r="Z1" s="5" t="s">
        <v>44</v>
      </c>
      <c r="AA1" s="8" t="s">
        <v>45</v>
      </c>
      <c r="AB1" s="13" t="s">
        <v>46</v>
      </c>
      <c r="AC1" s="2"/>
      <c r="AD1" s="13" t="s">
        <v>47</v>
      </c>
      <c r="AE1" s="2"/>
      <c r="AF1" s="16" t="s">
        <v>55</v>
      </c>
      <c r="AI1" s="86" t="s">
        <v>50</v>
      </c>
      <c r="AJ1" s="87"/>
      <c r="AK1" s="86" t="s">
        <v>51</v>
      </c>
      <c r="AL1" s="87"/>
      <c r="AP1" s="85" t="s">
        <v>155</v>
      </c>
      <c r="AQ1" s="85"/>
      <c r="AR1" s="85"/>
      <c r="AS1" s="85"/>
      <c r="AT1" s="85"/>
      <c r="AZ1" s="17" t="s">
        <v>66</v>
      </c>
      <c r="BA1" s="18"/>
      <c r="BB1" s="18"/>
      <c r="BC1" s="18"/>
      <c r="BD1" s="18"/>
      <c r="BE1" s="18"/>
      <c r="BF1" s="18"/>
    </row>
    <row r="2" spans="1:58" ht="62.5" thickBot="1">
      <c r="A2" s="28" t="s">
        <v>70</v>
      </c>
      <c r="B2" s="29" t="s">
        <v>68</v>
      </c>
      <c r="C2" s="29" t="s">
        <v>69</v>
      </c>
      <c r="D2" s="28" t="s">
        <v>71</v>
      </c>
      <c r="E2" s="27"/>
      <c r="G2" s="11" t="s">
        <v>130</v>
      </c>
      <c r="H2" s="21">
        <v>7</v>
      </c>
      <c r="I2" s="60">
        <v>1</v>
      </c>
      <c r="J2" s="60">
        <v>5.8</v>
      </c>
      <c r="K2" s="60">
        <v>6.9</v>
      </c>
      <c r="L2" s="60">
        <v>11.9</v>
      </c>
      <c r="M2" s="60">
        <v>0.04</v>
      </c>
      <c r="P2" s="19" t="s">
        <v>151</v>
      </c>
      <c r="Q2" s="59">
        <v>0.34</v>
      </c>
      <c r="T2" s="3" t="s">
        <v>35</v>
      </c>
      <c r="U2" s="4">
        <v>0.2</v>
      </c>
      <c r="V2" s="4">
        <v>5.15</v>
      </c>
      <c r="W2" s="4">
        <v>4.1399999999999997</v>
      </c>
      <c r="Z2" s="11"/>
      <c r="AA2" s="14"/>
      <c r="AB2" s="7" t="s">
        <v>48</v>
      </c>
      <c r="AC2" s="7" t="s">
        <v>49</v>
      </c>
      <c r="AD2" s="7" t="s">
        <v>48</v>
      </c>
      <c r="AE2" s="7" t="s">
        <v>49</v>
      </c>
      <c r="AI2" s="3" t="s">
        <v>37</v>
      </c>
      <c r="AJ2" s="4" t="s">
        <v>52</v>
      </c>
      <c r="AK2" s="4" t="s">
        <v>37</v>
      </c>
      <c r="AL2" s="4" t="s">
        <v>52</v>
      </c>
      <c r="AM2" s="22" t="s">
        <v>54</v>
      </c>
      <c r="AO2" s="32" t="s">
        <v>154</v>
      </c>
      <c r="AP2" s="24" t="s">
        <v>60</v>
      </c>
      <c r="AQ2" s="24" t="s">
        <v>159</v>
      </c>
      <c r="AR2" s="24" t="s">
        <v>160</v>
      </c>
      <c r="AS2" s="24" t="s">
        <v>161</v>
      </c>
      <c r="AT2" s="24" t="s">
        <v>162</v>
      </c>
      <c r="AU2" s="32" t="s">
        <v>156</v>
      </c>
      <c r="AZ2" s="18" t="s">
        <v>19</v>
      </c>
      <c r="BA2" s="30" t="s">
        <v>72</v>
      </c>
      <c r="BB2" s="18" t="s">
        <v>62</v>
      </c>
      <c r="BC2" s="18" t="s">
        <v>61</v>
      </c>
      <c r="BD2" s="18" t="s">
        <v>63</v>
      </c>
      <c r="BE2" s="18" t="s">
        <v>64</v>
      </c>
      <c r="BF2" s="18" t="s">
        <v>65</v>
      </c>
    </row>
    <row r="3" spans="1:58" ht="47" thickBot="1">
      <c r="A3" s="19" t="s">
        <v>2</v>
      </c>
      <c r="B3" s="59">
        <f>-LN(0.94)</f>
        <v>6.1875403718087529E-2</v>
      </c>
      <c r="C3" s="59">
        <f>-LN(0.94)</f>
        <v>6.1875403718087529E-2</v>
      </c>
      <c r="D3" s="20">
        <v>0.3</v>
      </c>
      <c r="E3" s="27"/>
      <c r="P3" s="19" t="s">
        <v>152</v>
      </c>
      <c r="Q3" s="59">
        <v>0.29199999999999998</v>
      </c>
      <c r="T3" s="3" t="s">
        <v>36</v>
      </c>
      <c r="U3" s="4">
        <v>5</v>
      </c>
      <c r="V3" s="4">
        <v>0.1938</v>
      </c>
      <c r="W3" s="4">
        <v>0.24149999999999999</v>
      </c>
      <c r="Z3" s="3" t="s">
        <v>2</v>
      </c>
      <c r="AA3" s="15">
        <v>0</v>
      </c>
      <c r="AB3" s="69">
        <v>0</v>
      </c>
      <c r="AC3" s="69">
        <v>0</v>
      </c>
      <c r="AD3" s="69">
        <v>0</v>
      </c>
      <c r="AE3" s="69">
        <v>0</v>
      </c>
      <c r="AI3" s="3">
        <v>1990</v>
      </c>
      <c r="AJ3" s="69">
        <v>5.0000000000000001E-3</v>
      </c>
      <c r="AK3" s="70">
        <v>2001</v>
      </c>
      <c r="AL3" s="69">
        <v>0.223</v>
      </c>
      <c r="AO3" s="32" t="s">
        <v>0</v>
      </c>
      <c r="AP3" s="18">
        <v>0.25</v>
      </c>
      <c r="AQ3" s="18">
        <v>1.71</v>
      </c>
      <c r="AR3" s="18">
        <v>1.05</v>
      </c>
      <c r="AS3" s="18">
        <v>4.71</v>
      </c>
      <c r="AT3" s="18">
        <v>1.96</v>
      </c>
      <c r="AU3" s="18">
        <v>9.23</v>
      </c>
      <c r="AZ3" s="19" t="s">
        <v>2</v>
      </c>
      <c r="BA3" s="58">
        <v>0</v>
      </c>
      <c r="BB3" s="58">
        <v>0.47</v>
      </c>
      <c r="BC3" s="58">
        <v>0.47</v>
      </c>
      <c r="BD3" s="58">
        <v>0.47</v>
      </c>
      <c r="BE3" s="58">
        <v>0.47</v>
      </c>
      <c r="BF3" s="58">
        <v>0.47</v>
      </c>
    </row>
    <row r="4" spans="1:58" ht="62.5" thickBot="1">
      <c r="A4" s="19" t="s">
        <v>3</v>
      </c>
      <c r="B4" s="59">
        <f t="shared" ref="B4:B18" si="0">-LN(0.94)</f>
        <v>6.1875403718087529E-2</v>
      </c>
      <c r="C4" s="59">
        <f t="shared" ref="C4:C18" si="1">-LN(0.94)</f>
        <v>6.1875403718087529E-2</v>
      </c>
      <c r="D4" s="20">
        <v>0.3</v>
      </c>
      <c r="E4" s="27"/>
      <c r="H4" s="32" t="s">
        <v>132</v>
      </c>
      <c r="I4" s="32" t="s">
        <v>77</v>
      </c>
      <c r="J4" s="32" t="s">
        <v>78</v>
      </c>
      <c r="P4" s="20" t="s">
        <v>153</v>
      </c>
      <c r="Q4" s="58">
        <v>7.0999999999999994E-2</v>
      </c>
      <c r="Z4" s="3" t="s">
        <v>3</v>
      </c>
      <c r="AA4" s="15">
        <v>0</v>
      </c>
      <c r="AB4" s="69">
        <v>0</v>
      </c>
      <c r="AC4" s="69">
        <v>0</v>
      </c>
      <c r="AD4" s="69">
        <v>0</v>
      </c>
      <c r="AE4" s="69">
        <v>0</v>
      </c>
      <c r="AI4" s="3">
        <v>1991</v>
      </c>
      <c r="AJ4" s="69">
        <v>1.0999999999999999E-2</v>
      </c>
      <c r="AK4" s="70">
        <v>2002</v>
      </c>
      <c r="AL4" s="69">
        <v>0.24299999999999999</v>
      </c>
      <c r="AN4" t="s">
        <v>136</v>
      </c>
      <c r="AO4" s="62" t="s">
        <v>1</v>
      </c>
      <c r="AP4" s="18">
        <v>0.25</v>
      </c>
      <c r="AQ4" s="18">
        <v>1.94</v>
      </c>
      <c r="AR4" s="18">
        <v>1.35</v>
      </c>
      <c r="AS4" s="18">
        <v>6.71</v>
      </c>
      <c r="AT4" s="18">
        <v>1.96</v>
      </c>
      <c r="AU4" s="18">
        <v>11.58</v>
      </c>
      <c r="AZ4" s="19" t="s">
        <v>3</v>
      </c>
      <c r="BA4" s="58">
        <v>0</v>
      </c>
      <c r="BB4" s="58">
        <v>0.01</v>
      </c>
      <c r="BC4" s="59">
        <v>0.01</v>
      </c>
      <c r="BD4" s="59">
        <v>0.05</v>
      </c>
      <c r="BE4" s="59">
        <v>0.08</v>
      </c>
      <c r="BF4" s="59">
        <v>0.27</v>
      </c>
    </row>
    <row r="5" spans="1:58" ht="16" thickBot="1">
      <c r="A5" s="19" t="s">
        <v>4</v>
      </c>
      <c r="B5" s="59">
        <f t="shared" si="0"/>
        <v>6.1875403718087529E-2</v>
      </c>
      <c r="C5" s="59">
        <f t="shared" si="1"/>
        <v>6.1875403718087529E-2</v>
      </c>
      <c r="D5" s="20">
        <v>0.3</v>
      </c>
      <c r="E5" s="23"/>
      <c r="G5" s="32" t="s">
        <v>131</v>
      </c>
      <c r="H5" s="18">
        <v>5.9999999999999995E-4</v>
      </c>
      <c r="I5" s="18">
        <v>0.01</v>
      </c>
      <c r="J5" s="18">
        <v>0.14000000000000001</v>
      </c>
      <c r="Z5" s="3" t="s">
        <v>4</v>
      </c>
      <c r="AA5" s="15">
        <v>0</v>
      </c>
      <c r="AB5" s="69">
        <v>0</v>
      </c>
      <c r="AC5" s="69">
        <v>0</v>
      </c>
      <c r="AD5" s="69">
        <v>0</v>
      </c>
      <c r="AE5" s="69">
        <v>0</v>
      </c>
      <c r="AI5" s="3">
        <v>1992</v>
      </c>
      <c r="AJ5" s="69">
        <v>1.4999999999999999E-2</v>
      </c>
      <c r="AK5" s="70">
        <v>2003</v>
      </c>
      <c r="AL5" s="69">
        <v>0.25</v>
      </c>
      <c r="AO5" s="32" t="s">
        <v>157</v>
      </c>
      <c r="AP5" s="18">
        <v>0.25</v>
      </c>
      <c r="AQ5" s="18">
        <v>1.88</v>
      </c>
      <c r="AR5" s="18">
        <v>1.22</v>
      </c>
      <c r="AS5" s="18">
        <v>5.9</v>
      </c>
      <c r="AT5" s="18">
        <v>1.96</v>
      </c>
      <c r="AU5" s="18">
        <v>10.66</v>
      </c>
      <c r="AZ5" s="19" t="s">
        <v>4</v>
      </c>
      <c r="BA5" s="58">
        <v>0</v>
      </c>
      <c r="BB5" s="58">
        <v>0.01</v>
      </c>
      <c r="BC5" s="59">
        <v>0.01</v>
      </c>
      <c r="BD5" s="59">
        <v>0.05</v>
      </c>
      <c r="BE5" s="59">
        <v>0.08</v>
      </c>
      <c r="BF5" s="59">
        <v>0.27</v>
      </c>
    </row>
    <row r="6" spans="1:58" ht="16" thickBot="1">
      <c r="A6" s="19" t="s">
        <v>5</v>
      </c>
      <c r="B6" s="59">
        <f t="shared" si="0"/>
        <v>6.1875403718087529E-2</v>
      </c>
      <c r="C6" s="59">
        <f t="shared" si="1"/>
        <v>6.1875403718087529E-2</v>
      </c>
      <c r="D6" s="20">
        <v>0.3</v>
      </c>
      <c r="G6" t="s">
        <v>134</v>
      </c>
      <c r="Z6" s="3" t="s">
        <v>5</v>
      </c>
      <c r="AA6" s="15">
        <v>0.113</v>
      </c>
      <c r="AB6" s="69">
        <v>2.5000000000000001E-2</v>
      </c>
      <c r="AC6" s="69">
        <v>6.7000000000000004E-2</v>
      </c>
      <c r="AD6" s="69">
        <v>2.1999999999999999E-2</v>
      </c>
      <c r="AE6" s="69">
        <v>4.7E-2</v>
      </c>
      <c r="AI6" s="3">
        <v>1993</v>
      </c>
      <c r="AJ6" s="69">
        <v>2.7E-2</v>
      </c>
      <c r="AK6" s="70">
        <v>2004</v>
      </c>
      <c r="AL6" s="69">
        <v>0.27100000000000002</v>
      </c>
      <c r="AZ6" s="19" t="s">
        <v>5</v>
      </c>
      <c r="BA6" s="58">
        <v>0</v>
      </c>
      <c r="BB6" s="58">
        <v>0.01</v>
      </c>
      <c r="BC6" s="59">
        <v>0.01</v>
      </c>
      <c r="BD6" s="59">
        <v>0.05</v>
      </c>
      <c r="BE6" s="59">
        <v>0.08</v>
      </c>
      <c r="BF6" s="59">
        <v>0.27</v>
      </c>
    </row>
    <row r="7" spans="1:58" ht="16" thickBot="1">
      <c r="A7" s="19" t="s">
        <v>6</v>
      </c>
      <c r="B7" s="59">
        <f t="shared" si="0"/>
        <v>6.1875403718087529E-2</v>
      </c>
      <c r="C7" s="59">
        <f t="shared" si="1"/>
        <v>6.1875403718087529E-2</v>
      </c>
      <c r="D7" s="20">
        <v>0.3</v>
      </c>
      <c r="Z7" s="3" t="s">
        <v>6</v>
      </c>
      <c r="AA7" s="15">
        <v>0.20200000000000001</v>
      </c>
      <c r="AB7" s="69">
        <v>5.0999999999999997E-2</v>
      </c>
      <c r="AC7" s="69">
        <v>0.21099999999999999</v>
      </c>
      <c r="AD7" s="69">
        <v>3.7999999999999999E-2</v>
      </c>
      <c r="AE7" s="69">
        <v>8.7999999999999995E-2</v>
      </c>
      <c r="AI7" s="3">
        <v>1994</v>
      </c>
      <c r="AJ7" s="69">
        <v>5.0999999999999997E-2</v>
      </c>
      <c r="AK7" s="70">
        <v>2005</v>
      </c>
      <c r="AL7" s="69">
        <v>0.26100000000000001</v>
      </c>
      <c r="AO7" s="61"/>
      <c r="AP7" s="85" t="s">
        <v>158</v>
      </c>
      <c r="AQ7" s="85"/>
      <c r="AR7" s="85"/>
      <c r="AS7" s="85"/>
      <c r="AT7" s="85"/>
      <c r="AZ7" s="19" t="s">
        <v>6</v>
      </c>
      <c r="BA7" s="58">
        <v>0</v>
      </c>
      <c r="BB7" s="58">
        <v>0.01</v>
      </c>
      <c r="BC7" s="59">
        <v>0.01</v>
      </c>
      <c r="BD7" s="59">
        <v>0.05</v>
      </c>
      <c r="BE7" s="59">
        <v>0.08</v>
      </c>
      <c r="BF7" s="59">
        <v>0.27</v>
      </c>
    </row>
    <row r="8" spans="1:58" ht="45.5" thickBot="1">
      <c r="A8" s="19" t="s">
        <v>7</v>
      </c>
      <c r="B8" s="59">
        <f t="shared" si="0"/>
        <v>6.1875403718087529E-2</v>
      </c>
      <c r="C8" s="59">
        <f t="shared" si="1"/>
        <v>6.1875403718087529E-2</v>
      </c>
      <c r="D8" s="20">
        <v>0.3</v>
      </c>
      <c r="G8" s="29" t="s">
        <v>33</v>
      </c>
      <c r="H8" s="29" t="s">
        <v>60</v>
      </c>
      <c r="I8" s="29" t="s">
        <v>126</v>
      </c>
      <c r="J8" s="29" t="s">
        <v>127</v>
      </c>
      <c r="K8" s="29" t="s">
        <v>128</v>
      </c>
      <c r="L8" s="29" t="s">
        <v>129</v>
      </c>
      <c r="M8" s="29" t="s">
        <v>69</v>
      </c>
      <c r="Z8" s="3" t="s">
        <v>7</v>
      </c>
      <c r="AA8" s="15">
        <v>0.36</v>
      </c>
      <c r="AB8" s="69">
        <v>0.157</v>
      </c>
      <c r="AC8" s="69">
        <v>0.32700000000000001</v>
      </c>
      <c r="AD8" s="69">
        <v>9.0999999999999998E-2</v>
      </c>
      <c r="AE8" s="69">
        <v>0.125</v>
      </c>
      <c r="AI8" s="3">
        <v>1995</v>
      </c>
      <c r="AJ8" s="69">
        <v>6.9000000000000006E-2</v>
      </c>
      <c r="AK8" s="70">
        <v>2006</v>
      </c>
      <c r="AL8" s="69">
        <v>0.26100000000000001</v>
      </c>
      <c r="AO8" s="32" t="s">
        <v>154</v>
      </c>
      <c r="AP8" s="32" t="s">
        <v>60</v>
      </c>
      <c r="AQ8" s="32" t="s">
        <v>163</v>
      </c>
      <c r="AR8" s="32" t="s">
        <v>164</v>
      </c>
      <c r="AS8" s="32" t="s">
        <v>165</v>
      </c>
      <c r="AT8" s="32" t="s">
        <v>166</v>
      </c>
      <c r="AU8" s="32" t="s">
        <v>156</v>
      </c>
      <c r="AZ8" s="19" t="s">
        <v>7</v>
      </c>
      <c r="BA8" s="58">
        <v>0</v>
      </c>
      <c r="BB8" s="58">
        <v>0.01</v>
      </c>
      <c r="BC8" s="59">
        <v>0.01</v>
      </c>
      <c r="BD8" s="59">
        <v>0.05</v>
      </c>
      <c r="BE8" s="59">
        <v>0.08</v>
      </c>
      <c r="BF8" s="59">
        <v>0.27</v>
      </c>
    </row>
    <row r="9" spans="1:58" ht="16" thickBot="1">
      <c r="A9" s="19" t="s">
        <v>18</v>
      </c>
      <c r="B9" s="59">
        <f t="shared" si="0"/>
        <v>6.1875403718087529E-2</v>
      </c>
      <c r="C9" s="59">
        <f t="shared" si="1"/>
        <v>6.1875403718087529E-2</v>
      </c>
      <c r="D9" s="20">
        <v>0.3</v>
      </c>
      <c r="G9" s="48" t="s">
        <v>133</v>
      </c>
      <c r="H9" s="46">
        <f t="shared" ref="H9:M9" si="2">$H$5*H2</f>
        <v>4.1999999999999997E-3</v>
      </c>
      <c r="I9" s="46">
        <f t="shared" si="2"/>
        <v>5.9999999999999995E-4</v>
      </c>
      <c r="J9" s="46">
        <f t="shared" si="2"/>
        <v>3.4799999999999996E-3</v>
      </c>
      <c r="K9" s="46">
        <f t="shared" si="2"/>
        <v>4.1399999999999996E-3</v>
      </c>
      <c r="L9" s="46">
        <f t="shared" si="2"/>
        <v>7.1399999999999996E-3</v>
      </c>
      <c r="M9" s="46">
        <f t="shared" si="2"/>
        <v>2.3999999999999997E-5</v>
      </c>
      <c r="Z9" s="3" t="s">
        <v>18</v>
      </c>
      <c r="AA9" s="15">
        <v>0.54800000000000004</v>
      </c>
      <c r="AB9" s="69">
        <v>0.25800000000000001</v>
      </c>
      <c r="AC9" s="69">
        <v>0.29099999999999998</v>
      </c>
      <c r="AD9" s="69">
        <v>0.107</v>
      </c>
      <c r="AE9" s="69">
        <v>0.104</v>
      </c>
      <c r="AI9" s="3">
        <v>1996</v>
      </c>
      <c r="AJ9" s="69">
        <v>9.5000000000000001E-2</v>
      </c>
      <c r="AK9" s="70">
        <v>2007</v>
      </c>
      <c r="AL9" s="69">
        <v>0.25800000000000001</v>
      </c>
      <c r="AO9" s="32" t="s">
        <v>0</v>
      </c>
      <c r="AP9" s="18">
        <v>0.25</v>
      </c>
      <c r="AQ9" s="18">
        <v>3.44</v>
      </c>
      <c r="AR9" s="18">
        <v>1.45</v>
      </c>
      <c r="AS9" s="18">
        <v>3.04</v>
      </c>
      <c r="AT9" s="18">
        <v>1.5</v>
      </c>
      <c r="AU9" s="18">
        <v>9.23</v>
      </c>
      <c r="AZ9" s="19" t="s">
        <v>18</v>
      </c>
      <c r="BA9" s="58">
        <v>0</v>
      </c>
      <c r="BB9" s="58">
        <v>0.01</v>
      </c>
      <c r="BC9" s="59">
        <v>0.01</v>
      </c>
      <c r="BD9" s="59">
        <v>0.05</v>
      </c>
      <c r="BE9" s="59">
        <v>0.08</v>
      </c>
      <c r="BF9" s="59">
        <v>0.27</v>
      </c>
    </row>
    <row r="10" spans="1:58" ht="16" thickBot="1">
      <c r="A10" s="19" t="s">
        <v>9</v>
      </c>
      <c r="B10" s="59">
        <f t="shared" si="0"/>
        <v>6.1875403718087529E-2</v>
      </c>
      <c r="C10" s="59">
        <f t="shared" si="1"/>
        <v>6.1875403718087529E-2</v>
      </c>
      <c r="D10" s="20">
        <v>0.3</v>
      </c>
      <c r="G10" s="32" t="s">
        <v>77</v>
      </c>
      <c r="H10" s="47">
        <f t="shared" ref="H10:M10" si="3">$I$5*H2</f>
        <v>7.0000000000000007E-2</v>
      </c>
      <c r="I10" s="47">
        <f t="shared" si="3"/>
        <v>0.01</v>
      </c>
      <c r="J10" s="47">
        <f t="shared" si="3"/>
        <v>5.7999999999999996E-2</v>
      </c>
      <c r="K10" s="47">
        <f t="shared" si="3"/>
        <v>6.9000000000000006E-2</v>
      </c>
      <c r="L10" s="47">
        <f t="shared" si="3"/>
        <v>0.11900000000000001</v>
      </c>
      <c r="M10" s="47">
        <f t="shared" si="3"/>
        <v>4.0000000000000002E-4</v>
      </c>
      <c r="Z10" s="3" t="s">
        <v>9</v>
      </c>
      <c r="AA10" s="15">
        <v>0.627</v>
      </c>
      <c r="AB10" s="69">
        <v>0.185</v>
      </c>
      <c r="AC10" s="69">
        <v>0.248</v>
      </c>
      <c r="AD10" s="69">
        <v>8.1000000000000003E-2</v>
      </c>
      <c r="AE10" s="69">
        <v>9.1999999999999998E-2</v>
      </c>
      <c r="AI10" s="3">
        <v>1997</v>
      </c>
      <c r="AJ10" s="69">
        <v>0.113</v>
      </c>
      <c r="AK10" s="70">
        <v>2008</v>
      </c>
      <c r="AL10" s="69">
        <v>0.25800000000000001</v>
      </c>
      <c r="AO10" s="32" t="s">
        <v>1</v>
      </c>
      <c r="AP10" s="18">
        <v>0.25</v>
      </c>
      <c r="AQ10" s="18">
        <v>3.06</v>
      </c>
      <c r="AR10" s="18">
        <v>2.27</v>
      </c>
      <c r="AS10" s="18">
        <v>5.45</v>
      </c>
      <c r="AT10" s="18">
        <v>1.18</v>
      </c>
      <c r="AU10" s="18">
        <v>11.58</v>
      </c>
      <c r="AZ10" s="19" t="s">
        <v>9</v>
      </c>
      <c r="BA10" s="58">
        <v>0</v>
      </c>
      <c r="BB10" s="58">
        <v>0.01</v>
      </c>
      <c r="BC10" s="59">
        <v>0.01</v>
      </c>
      <c r="BD10" s="59">
        <v>0.05</v>
      </c>
      <c r="BE10" s="59">
        <v>0.08</v>
      </c>
      <c r="BF10" s="59">
        <v>0.27</v>
      </c>
    </row>
    <row r="11" spans="1:58" ht="16" thickBot="1">
      <c r="A11" s="19" t="s">
        <v>10</v>
      </c>
      <c r="B11" s="59">
        <f t="shared" si="0"/>
        <v>6.1875403718087529E-2</v>
      </c>
      <c r="C11" s="59">
        <f t="shared" si="1"/>
        <v>6.1875403718087529E-2</v>
      </c>
      <c r="D11" s="20">
        <v>0.3</v>
      </c>
      <c r="G11" s="32" t="s">
        <v>78</v>
      </c>
      <c r="H11" s="47">
        <f t="shared" ref="H11:M11" si="4">MIN($J$5*H2,1)</f>
        <v>0.98000000000000009</v>
      </c>
      <c r="I11" s="47">
        <f t="shared" si="4"/>
        <v>0.14000000000000001</v>
      </c>
      <c r="J11" s="47">
        <f t="shared" si="4"/>
        <v>0.81200000000000006</v>
      </c>
      <c r="K11" s="47">
        <f t="shared" si="4"/>
        <v>0.96600000000000019</v>
      </c>
      <c r="L11" s="47">
        <f t="shared" si="4"/>
        <v>1</v>
      </c>
      <c r="M11" s="47">
        <f t="shared" si="4"/>
        <v>5.6000000000000008E-3</v>
      </c>
      <c r="Z11" s="3" t="s">
        <v>10</v>
      </c>
      <c r="AA11" s="15">
        <v>0.41699999999999998</v>
      </c>
      <c r="AB11" s="69">
        <v>0.192</v>
      </c>
      <c r="AC11" s="69">
        <v>0.16300000000000001</v>
      </c>
      <c r="AD11" s="69">
        <v>7.5999999999999998E-2</v>
      </c>
      <c r="AE11" s="69">
        <v>7.4999999999999997E-2</v>
      </c>
      <c r="AI11" s="3">
        <v>1998</v>
      </c>
      <c r="AJ11" s="69">
        <v>0.152</v>
      </c>
      <c r="AK11" s="70">
        <v>2009</v>
      </c>
      <c r="AL11" s="69">
        <v>0.26300000000000001</v>
      </c>
      <c r="AO11" s="32" t="s">
        <v>157</v>
      </c>
      <c r="AP11" s="18">
        <v>0.25</v>
      </c>
      <c r="AQ11" s="18">
        <v>3.13</v>
      </c>
      <c r="AR11" s="18">
        <v>1.99</v>
      </c>
      <c r="AS11" s="18">
        <v>4.4000000000000004</v>
      </c>
      <c r="AT11" s="18">
        <v>1.44</v>
      </c>
      <c r="AU11" s="18">
        <v>10.66</v>
      </c>
      <c r="AZ11" s="19" t="s">
        <v>10</v>
      </c>
      <c r="BA11" s="58">
        <v>0</v>
      </c>
      <c r="BB11" s="58">
        <v>0.01</v>
      </c>
      <c r="BC11" s="59">
        <v>0.01</v>
      </c>
      <c r="BD11" s="59">
        <v>0.05</v>
      </c>
      <c r="BE11" s="59">
        <v>0.08</v>
      </c>
      <c r="BF11" s="59">
        <v>0.27</v>
      </c>
    </row>
    <row r="12" spans="1:58" ht="16" thickBot="1">
      <c r="A12" s="19" t="s">
        <v>11</v>
      </c>
      <c r="B12" s="59">
        <f t="shared" si="0"/>
        <v>6.1875403718087529E-2</v>
      </c>
      <c r="C12" s="59">
        <f t="shared" si="1"/>
        <v>6.1875403718087529E-2</v>
      </c>
      <c r="D12" s="20">
        <v>0.3</v>
      </c>
      <c r="Z12" s="3" t="s">
        <v>11</v>
      </c>
      <c r="AA12" s="15">
        <v>0.39</v>
      </c>
      <c r="AB12" s="69">
        <v>6.4000000000000001E-2</v>
      </c>
      <c r="AC12" s="69">
        <v>0.14099999999999999</v>
      </c>
      <c r="AD12" s="69">
        <v>6.3E-2</v>
      </c>
      <c r="AE12" s="69">
        <v>6.7000000000000004E-2</v>
      </c>
      <c r="AI12" s="3">
        <v>1999</v>
      </c>
      <c r="AJ12" s="69">
        <v>0.14899999999999999</v>
      </c>
      <c r="AK12" s="70">
        <v>2010</v>
      </c>
      <c r="AL12" s="69">
        <v>0.26300000000000001</v>
      </c>
      <c r="AZ12" s="19" t="s">
        <v>11</v>
      </c>
      <c r="BA12" s="58">
        <v>0</v>
      </c>
      <c r="BB12" s="58">
        <v>0.01</v>
      </c>
      <c r="BC12" s="59">
        <v>0.01</v>
      </c>
      <c r="BD12" s="59">
        <v>0.05</v>
      </c>
      <c r="BE12" s="59">
        <v>0.08</v>
      </c>
      <c r="BF12" s="59">
        <v>0.27</v>
      </c>
    </row>
    <row r="13" spans="1:58" ht="16" thickBot="1">
      <c r="A13" s="19" t="s">
        <v>12</v>
      </c>
      <c r="B13" s="59">
        <f t="shared" si="0"/>
        <v>6.1875403718087529E-2</v>
      </c>
      <c r="C13" s="59">
        <f t="shared" si="1"/>
        <v>6.1875403718087529E-2</v>
      </c>
      <c r="D13" s="20">
        <v>0.3</v>
      </c>
      <c r="G13" t="s">
        <v>135</v>
      </c>
      <c r="Z13" s="3" t="s">
        <v>12</v>
      </c>
      <c r="AA13" s="15">
        <v>0.2</v>
      </c>
      <c r="AB13" s="69">
        <v>0.104</v>
      </c>
      <c r="AC13" s="69">
        <v>0.122</v>
      </c>
      <c r="AD13" s="69">
        <v>6.9000000000000006E-2</v>
      </c>
      <c r="AE13" s="69">
        <v>0</v>
      </c>
      <c r="AI13" s="3">
        <v>2000</v>
      </c>
      <c r="AJ13" s="69">
        <v>0.16300000000000001</v>
      </c>
      <c r="AK13" s="70">
        <v>2011</v>
      </c>
      <c r="AL13" s="69">
        <v>0.318</v>
      </c>
      <c r="AM13" t="s">
        <v>53</v>
      </c>
      <c r="AZ13" s="19" t="s">
        <v>12</v>
      </c>
      <c r="BA13" s="58">
        <v>0</v>
      </c>
      <c r="BB13" s="58">
        <v>0.01</v>
      </c>
      <c r="BC13" s="59">
        <v>0.01</v>
      </c>
      <c r="BD13" s="59">
        <v>0.1</v>
      </c>
      <c r="BE13" s="59">
        <v>0.16</v>
      </c>
      <c r="BF13" s="59">
        <v>0.54</v>
      </c>
    </row>
    <row r="14" spans="1:58" ht="16" thickBot="1">
      <c r="A14" s="19" t="s">
        <v>13</v>
      </c>
      <c r="B14" s="59">
        <f t="shared" si="0"/>
        <v>6.1875403718087529E-2</v>
      </c>
      <c r="C14" s="59">
        <f t="shared" si="1"/>
        <v>6.1875403718087529E-2</v>
      </c>
      <c r="D14" s="20">
        <v>0.3</v>
      </c>
      <c r="Z14" s="3" t="s">
        <v>13</v>
      </c>
      <c r="AA14" s="15">
        <v>0.13400000000000001</v>
      </c>
      <c r="AB14" s="69">
        <v>0.05</v>
      </c>
      <c r="AC14" s="69">
        <v>0.05</v>
      </c>
      <c r="AD14" s="69">
        <v>0</v>
      </c>
      <c r="AE14" s="69">
        <v>0</v>
      </c>
      <c r="AN14" t="s">
        <v>137</v>
      </c>
      <c r="AP14" s="85" t="s">
        <v>191</v>
      </c>
      <c r="AQ14" s="85"/>
      <c r="AR14" s="85"/>
      <c r="AS14" s="85"/>
      <c r="AT14" s="85"/>
      <c r="AZ14" s="19" t="s">
        <v>13</v>
      </c>
      <c r="BA14" s="58">
        <v>0</v>
      </c>
      <c r="BB14" s="58">
        <v>0.02</v>
      </c>
      <c r="BC14" s="59">
        <v>0.02</v>
      </c>
      <c r="BD14" s="59">
        <v>0.1</v>
      </c>
      <c r="BE14" s="59">
        <v>0.16</v>
      </c>
      <c r="BF14" s="59">
        <v>0.54</v>
      </c>
    </row>
    <row r="15" spans="1:58" ht="15.5">
      <c r="A15" s="88" t="s">
        <v>212</v>
      </c>
      <c r="B15" s="90">
        <f t="shared" si="0"/>
        <v>6.1875403718087529E-2</v>
      </c>
      <c r="C15" s="90">
        <f t="shared" si="1"/>
        <v>6.1875403718087529E-2</v>
      </c>
      <c r="D15" s="20">
        <v>0.3</v>
      </c>
      <c r="AO15" s="32" t="s">
        <v>154</v>
      </c>
      <c r="AP15" s="24" t="s">
        <v>60</v>
      </c>
      <c r="AQ15" s="24" t="s">
        <v>159</v>
      </c>
      <c r="AR15" s="24" t="s">
        <v>160</v>
      </c>
      <c r="AS15" s="24" t="s">
        <v>161</v>
      </c>
      <c r="AT15" s="24" t="s">
        <v>162</v>
      </c>
      <c r="AU15" s="53"/>
      <c r="AZ15" s="88" t="s">
        <v>212</v>
      </c>
      <c r="BA15" s="89">
        <v>0</v>
      </c>
      <c r="BB15" s="89">
        <v>0.02</v>
      </c>
      <c r="BC15" s="90">
        <v>0.02</v>
      </c>
      <c r="BD15" s="90">
        <v>0.1</v>
      </c>
      <c r="BE15" s="90">
        <v>0.16</v>
      </c>
      <c r="BF15" s="90">
        <v>0.54</v>
      </c>
    </row>
    <row r="16" spans="1:58" ht="15.5">
      <c r="A16" s="88" t="s">
        <v>213</v>
      </c>
      <c r="B16" s="90">
        <f t="shared" si="0"/>
        <v>6.1875403718087529E-2</v>
      </c>
      <c r="C16" s="90">
        <f t="shared" si="1"/>
        <v>6.1875403718087529E-2</v>
      </c>
      <c r="D16" s="20">
        <v>0.3</v>
      </c>
      <c r="G16" t="s">
        <v>167</v>
      </c>
      <c r="AO16" s="32" t="s">
        <v>0</v>
      </c>
      <c r="AP16" s="58">
        <f>1/AP3</f>
        <v>4</v>
      </c>
      <c r="AQ16" s="58">
        <f>1/AQ3</f>
        <v>0.58479532163742687</v>
      </c>
      <c r="AR16" s="58">
        <f t="shared" ref="AR16:AT16" si="5">1/AR3</f>
        <v>0.95238095238095233</v>
      </c>
      <c r="AS16" s="58">
        <f t="shared" si="5"/>
        <v>0.21231422505307856</v>
      </c>
      <c r="AT16" s="30">
        <f t="shared" si="5"/>
        <v>0.51020408163265307</v>
      </c>
      <c r="AU16" s="23"/>
      <c r="AZ16" s="88" t="s">
        <v>213</v>
      </c>
      <c r="BA16" s="89">
        <v>0</v>
      </c>
      <c r="BB16" s="89">
        <v>0.02</v>
      </c>
      <c r="BC16" s="90">
        <v>0.02</v>
      </c>
      <c r="BD16" s="90">
        <v>0.1</v>
      </c>
      <c r="BE16" s="90">
        <v>0.16</v>
      </c>
      <c r="BF16" s="90">
        <v>0.54</v>
      </c>
    </row>
    <row r="17" spans="1:58" ht="15.5">
      <c r="A17" s="88" t="s">
        <v>214</v>
      </c>
      <c r="B17" s="90">
        <f t="shared" si="0"/>
        <v>6.1875403718087529E-2</v>
      </c>
      <c r="C17" s="90">
        <f t="shared" si="1"/>
        <v>6.1875403718087529E-2</v>
      </c>
      <c r="D17" s="20">
        <v>0.3</v>
      </c>
      <c r="G17" t="s">
        <v>154</v>
      </c>
      <c r="AO17" s="62" t="s">
        <v>1</v>
      </c>
      <c r="AP17" s="58">
        <f t="shared" ref="AP17:AP18" si="6">1/AP4</f>
        <v>4</v>
      </c>
      <c r="AQ17" s="58">
        <f t="shared" ref="AQ17:AT18" si="7">1/AQ4</f>
        <v>0.51546391752577325</v>
      </c>
      <c r="AR17" s="58">
        <f t="shared" si="7"/>
        <v>0.7407407407407407</v>
      </c>
      <c r="AS17" s="58">
        <f t="shared" si="7"/>
        <v>0.14903129657228018</v>
      </c>
      <c r="AT17" s="30">
        <f t="shared" si="7"/>
        <v>0.51020408163265307</v>
      </c>
      <c r="AU17" s="23"/>
      <c r="AZ17" s="88" t="s">
        <v>214</v>
      </c>
      <c r="BA17" s="89">
        <v>0</v>
      </c>
      <c r="BB17" s="89">
        <v>0.02</v>
      </c>
      <c r="BC17" s="90">
        <v>0.02</v>
      </c>
      <c r="BD17" s="90">
        <v>0.1</v>
      </c>
      <c r="BE17" s="90">
        <v>0.16</v>
      </c>
      <c r="BF17" s="90">
        <v>0.54</v>
      </c>
    </row>
    <row r="18" spans="1:58" ht="15.5">
      <c r="A18" s="88" t="s">
        <v>215</v>
      </c>
      <c r="B18" s="90">
        <f t="shared" si="0"/>
        <v>6.1875403718087529E-2</v>
      </c>
      <c r="C18" s="90">
        <f t="shared" si="1"/>
        <v>6.1875403718087529E-2</v>
      </c>
      <c r="D18" s="20">
        <v>0.3</v>
      </c>
      <c r="G18" t="s">
        <v>169</v>
      </c>
      <c r="H18">
        <f>11/10^4</f>
        <v>1.1000000000000001E-3</v>
      </c>
      <c r="AO18" s="32" t="s">
        <v>157</v>
      </c>
      <c r="AP18" s="58">
        <f t="shared" si="6"/>
        <v>4</v>
      </c>
      <c r="AQ18" s="58">
        <f t="shared" si="7"/>
        <v>0.53191489361702127</v>
      </c>
      <c r="AR18" s="58">
        <f t="shared" si="7"/>
        <v>0.81967213114754101</v>
      </c>
      <c r="AS18" s="58">
        <f t="shared" si="7"/>
        <v>0.16949152542372881</v>
      </c>
      <c r="AT18" s="30">
        <f t="shared" si="7"/>
        <v>0.51020408163265307</v>
      </c>
      <c r="AU18" s="23"/>
      <c r="AZ18" s="88" t="s">
        <v>215</v>
      </c>
      <c r="BA18" s="89">
        <v>0</v>
      </c>
      <c r="BB18" s="89">
        <v>0.02</v>
      </c>
      <c r="BC18" s="90">
        <v>0.02</v>
      </c>
      <c r="BD18" s="90">
        <v>0.1</v>
      </c>
      <c r="BE18" s="90">
        <v>0.16</v>
      </c>
      <c r="BF18" s="90">
        <v>0.54</v>
      </c>
    </row>
    <row r="19" spans="1:58">
      <c r="G19" t="s">
        <v>170</v>
      </c>
      <c r="H19">
        <f>138/10^4</f>
        <v>1.38E-2</v>
      </c>
      <c r="AU19" s="23"/>
    </row>
    <row r="20" spans="1:58">
      <c r="AO20" s="61"/>
      <c r="AP20" s="85" t="s">
        <v>192</v>
      </c>
      <c r="AQ20" s="85"/>
      <c r="AR20" s="85"/>
      <c r="AS20" s="85"/>
      <c r="AT20" s="85"/>
      <c r="AU20" s="23"/>
    </row>
    <row r="21" spans="1:58">
      <c r="G21" t="s">
        <v>171</v>
      </c>
      <c r="AO21" s="32" t="s">
        <v>154</v>
      </c>
      <c r="AP21" s="32" t="s">
        <v>60</v>
      </c>
      <c r="AQ21" s="32" t="s">
        <v>163</v>
      </c>
      <c r="AR21" s="32" t="s">
        <v>164</v>
      </c>
      <c r="AS21" s="32" t="s">
        <v>165</v>
      </c>
      <c r="AT21" s="32" t="s">
        <v>166</v>
      </c>
    </row>
    <row r="22" spans="1:58">
      <c r="G22" t="s">
        <v>154</v>
      </c>
      <c r="AO22" s="32" t="s">
        <v>0</v>
      </c>
      <c r="AP22" s="58">
        <f>1/AP9</f>
        <v>4</v>
      </c>
      <c r="AQ22" s="58">
        <f>1/AQ9</f>
        <v>0.29069767441860467</v>
      </c>
      <c r="AR22" s="58">
        <f t="shared" ref="AR22:AT22" si="8">1/AR9</f>
        <v>0.68965517241379315</v>
      </c>
      <c r="AS22" s="58">
        <f t="shared" si="8"/>
        <v>0.32894736842105265</v>
      </c>
      <c r="AT22" s="30">
        <f t="shared" si="8"/>
        <v>0.66666666666666663</v>
      </c>
      <c r="AU22" s="23"/>
    </row>
    <row r="23" spans="1:58" ht="16" customHeight="1">
      <c r="G23" t="s">
        <v>169</v>
      </c>
      <c r="H23">
        <f>4/10^4</f>
        <v>4.0000000000000002E-4</v>
      </c>
      <c r="AO23" s="32" t="s">
        <v>1</v>
      </c>
      <c r="AP23" s="58">
        <f t="shared" ref="AP23:AP24" si="9">1/AP10</f>
        <v>4</v>
      </c>
      <c r="AQ23" s="58">
        <f t="shared" ref="AQ23:AT24" si="10">1/AQ10</f>
        <v>0.32679738562091504</v>
      </c>
      <c r="AR23" s="58">
        <f t="shared" si="10"/>
        <v>0.44052863436123346</v>
      </c>
      <c r="AS23" s="58">
        <f t="shared" si="10"/>
        <v>0.18348623853211007</v>
      </c>
      <c r="AT23" s="30">
        <f t="shared" si="10"/>
        <v>0.84745762711864414</v>
      </c>
      <c r="AU23" s="23"/>
    </row>
    <row r="24" spans="1:58">
      <c r="G24" t="s">
        <v>170</v>
      </c>
      <c r="H24">
        <f>8/10^4</f>
        <v>8.0000000000000004E-4</v>
      </c>
      <c r="AO24" s="32" t="s">
        <v>157</v>
      </c>
      <c r="AP24" s="58">
        <f t="shared" si="9"/>
        <v>4</v>
      </c>
      <c r="AQ24" s="58">
        <f t="shared" si="10"/>
        <v>0.31948881789137379</v>
      </c>
      <c r="AR24" s="58">
        <f t="shared" si="10"/>
        <v>0.50251256281407031</v>
      </c>
      <c r="AS24" s="58">
        <f t="shared" si="10"/>
        <v>0.22727272727272727</v>
      </c>
      <c r="AT24" s="30">
        <f t="shared" si="10"/>
        <v>0.69444444444444442</v>
      </c>
      <c r="AU24" s="23"/>
    </row>
    <row r="26" spans="1:58">
      <c r="G26" t="s">
        <v>172</v>
      </c>
      <c r="H26">
        <f>2260/10^4</f>
        <v>0.22600000000000001</v>
      </c>
    </row>
    <row r="27" spans="1:58">
      <c r="AO27" s="73" t="s">
        <v>210</v>
      </c>
    </row>
    <row r="28" spans="1:58">
      <c r="G28" t="s">
        <v>168</v>
      </c>
      <c r="AO28" s="68"/>
      <c r="AP28" s="85" t="s">
        <v>209</v>
      </c>
      <c r="AQ28" s="85"/>
      <c r="AR28" s="85"/>
      <c r="AS28" s="85"/>
      <c r="AT28" s="72"/>
      <c r="AU28" s="68"/>
      <c r="AV28" s="85" t="s">
        <v>208</v>
      </c>
      <c r="AW28" s="85"/>
      <c r="AX28" s="85"/>
      <c r="AY28" s="85"/>
    </row>
    <row r="29" spans="1:58" ht="30">
      <c r="G29" t="s">
        <v>173</v>
      </c>
      <c r="AO29" s="32" t="s">
        <v>201</v>
      </c>
      <c r="AP29" s="24" t="s">
        <v>60</v>
      </c>
      <c r="AQ29" s="24" t="s">
        <v>159</v>
      </c>
      <c r="AR29" s="24" t="s">
        <v>160</v>
      </c>
      <c r="AS29" s="24" t="s">
        <v>161</v>
      </c>
      <c r="AT29" s="71"/>
      <c r="AU29" s="32" t="s">
        <v>201</v>
      </c>
      <c r="AV29" s="24" t="s">
        <v>60</v>
      </c>
      <c r="AW29" s="24" t="s">
        <v>159</v>
      </c>
      <c r="AX29" s="24" t="s">
        <v>160</v>
      </c>
      <c r="AY29" s="24" t="s">
        <v>161</v>
      </c>
    </row>
    <row r="30" spans="1:58">
      <c r="G30" t="s">
        <v>174</v>
      </c>
      <c r="AO30" s="32" t="s">
        <v>60</v>
      </c>
      <c r="AP30" s="58">
        <v>4</v>
      </c>
      <c r="AQ30" s="58">
        <f>1/1.71</f>
        <v>0.58479532163742687</v>
      </c>
      <c r="AR30" s="58">
        <f>1/1.05</f>
        <v>0.95238095238095233</v>
      </c>
      <c r="AS30" s="58">
        <f>1/4.71</f>
        <v>0.21231422505307856</v>
      </c>
      <c r="AT30" s="52"/>
      <c r="AU30" s="32" t="s">
        <v>60</v>
      </c>
      <c r="AV30" s="58">
        <v>4</v>
      </c>
      <c r="AW30" s="58">
        <f>1/1.94</f>
        <v>0.51546391752577325</v>
      </c>
      <c r="AX30" s="58">
        <f>1/1.35</f>
        <v>0.7407407407407407</v>
      </c>
      <c r="AY30" s="58">
        <f>1/6.71</f>
        <v>0.14903129657228018</v>
      </c>
    </row>
    <row r="31" spans="1:58">
      <c r="AO31" s="62" t="s">
        <v>202</v>
      </c>
      <c r="AP31" s="58">
        <v>4</v>
      </c>
      <c r="AQ31" s="58">
        <f>1/2</f>
        <v>0.5</v>
      </c>
      <c r="AR31" s="58">
        <f>1/2.12</f>
        <v>0.47169811320754712</v>
      </c>
      <c r="AS31" s="58">
        <f>1/5.05</f>
        <v>0.19801980198019803</v>
      </c>
      <c r="AT31" s="52"/>
      <c r="AU31" s="62" t="s">
        <v>202</v>
      </c>
      <c r="AV31" s="58">
        <v>4</v>
      </c>
      <c r="AW31" s="58">
        <f>1/3.38</f>
        <v>0.29585798816568049</v>
      </c>
      <c r="AX31" s="58">
        <f>1/3.06</f>
        <v>0.32679738562091504</v>
      </c>
      <c r="AY31" s="58">
        <f>1/22.67</f>
        <v>4.4111160123511246E-2</v>
      </c>
    </row>
    <row r="32" spans="1:58">
      <c r="AO32" s="32" t="s">
        <v>164</v>
      </c>
      <c r="AP32" s="58">
        <f>4</f>
        <v>4</v>
      </c>
      <c r="AQ32" s="58">
        <f>1/2.23</f>
        <v>0.44843049327354262</v>
      </c>
      <c r="AR32" s="58">
        <f>1/1.33</f>
        <v>0.75187969924812026</v>
      </c>
      <c r="AS32" s="58">
        <f>1/24.67</f>
        <v>4.0535062829347386E-2</v>
      </c>
      <c r="AT32" s="52"/>
      <c r="AU32" s="32" t="s">
        <v>164</v>
      </c>
      <c r="AV32" s="58">
        <f>4</f>
        <v>4</v>
      </c>
      <c r="AW32" s="58">
        <f>1/1.97</f>
        <v>0.50761421319796951</v>
      </c>
      <c r="AX32" s="58">
        <f>1/2.31</f>
        <v>0.4329004329004329</v>
      </c>
      <c r="AY32" s="58">
        <f>1/15.73</f>
        <v>6.3572790845518118E-2</v>
      </c>
    </row>
    <row r="33" spans="41:51">
      <c r="AO33" s="32" t="s">
        <v>203</v>
      </c>
      <c r="AP33" s="58">
        <f>4</f>
        <v>4</v>
      </c>
      <c r="AQ33" s="58">
        <f>1/1.6</f>
        <v>0.625</v>
      </c>
      <c r="AR33" s="58">
        <f>1/1.24</f>
        <v>0.80645161290322587</v>
      </c>
      <c r="AS33" s="58">
        <f>1/9.93</f>
        <v>0.10070493454179255</v>
      </c>
      <c r="AU33" s="32" t="s">
        <v>203</v>
      </c>
      <c r="AV33" s="58">
        <f>4</f>
        <v>4</v>
      </c>
      <c r="AW33" s="58">
        <f>1/1.64</f>
        <v>0.6097560975609756</v>
      </c>
      <c r="AX33" s="58">
        <f>1/1.19</f>
        <v>0.84033613445378152</v>
      </c>
      <c r="AY33" s="58">
        <f>1/5.79</f>
        <v>0.17271157167530224</v>
      </c>
    </row>
    <row r="34" spans="41:51">
      <c r="AO34" s="32" t="s">
        <v>204</v>
      </c>
      <c r="AP34" s="58">
        <v>4</v>
      </c>
      <c r="AQ34" s="58">
        <f>1/1.33</f>
        <v>0.75187969924812026</v>
      </c>
      <c r="AR34" s="58">
        <f>1/0.68</f>
        <v>1.4705882352941175</v>
      </c>
      <c r="AS34" s="58">
        <f>1/2.03</f>
        <v>0.49261083743842371</v>
      </c>
      <c r="AU34" s="32" t="s">
        <v>204</v>
      </c>
      <c r="AV34" s="58">
        <v>4</v>
      </c>
      <c r="AW34" s="58">
        <f>1/1.3</f>
        <v>0.76923076923076916</v>
      </c>
      <c r="AX34" s="58">
        <f>1/0.53</f>
        <v>1.8867924528301885</v>
      </c>
      <c r="AY34" s="58">
        <f>1/3.22</f>
        <v>0.3105590062111801</v>
      </c>
    </row>
    <row r="36" spans="41:51">
      <c r="AO36" s="73" t="s">
        <v>211</v>
      </c>
    </row>
    <row r="37" spans="41:51" ht="31" customHeight="1">
      <c r="AO37" s="68"/>
      <c r="AP37" s="85" t="s">
        <v>206</v>
      </c>
      <c r="AQ37" s="85"/>
      <c r="AR37" s="85"/>
      <c r="AS37" s="85"/>
      <c r="AU37" s="68"/>
      <c r="AV37" s="85" t="s">
        <v>207</v>
      </c>
      <c r="AW37" s="85"/>
      <c r="AX37" s="85"/>
      <c r="AY37" s="85"/>
    </row>
    <row r="38" spans="41:51">
      <c r="AO38" s="32" t="s">
        <v>201</v>
      </c>
      <c r="AP38" s="32" t="s">
        <v>60</v>
      </c>
      <c r="AQ38" s="62" t="s">
        <v>202</v>
      </c>
      <c r="AR38" s="32" t="s">
        <v>164</v>
      </c>
      <c r="AS38" s="32" t="s">
        <v>203</v>
      </c>
      <c r="AT38" s="53"/>
      <c r="AU38" s="32" t="s">
        <v>201</v>
      </c>
      <c r="AV38" s="32" t="s">
        <v>60</v>
      </c>
      <c r="AW38" s="62" t="s">
        <v>202</v>
      </c>
      <c r="AX38" s="32" t="s">
        <v>164</v>
      </c>
      <c r="AY38" s="32" t="s">
        <v>203</v>
      </c>
    </row>
    <row r="39" spans="41:51" ht="30.5" customHeight="1">
      <c r="AO39" s="24" t="s">
        <v>60</v>
      </c>
      <c r="AP39" s="58">
        <v>4</v>
      </c>
      <c r="AQ39" s="58">
        <f>1/3.44</f>
        <v>0.29069767441860467</v>
      </c>
      <c r="AR39" s="58">
        <f>1/1.45</f>
        <v>0.68965517241379315</v>
      </c>
      <c r="AS39" s="58">
        <f>1/3.04</f>
        <v>0.32894736842105265</v>
      </c>
      <c r="AU39" s="24" t="s">
        <v>60</v>
      </c>
      <c r="AV39" s="58">
        <v>4</v>
      </c>
      <c r="AW39" s="58">
        <f>1/3.06</f>
        <v>0.32679738562091504</v>
      </c>
      <c r="AX39" s="58">
        <f>1/2.27</f>
        <v>0.44052863436123346</v>
      </c>
      <c r="AY39" s="58">
        <f>1/5.45</f>
        <v>0.18348623853211007</v>
      </c>
    </row>
    <row r="40" spans="41:51" ht="15">
      <c r="AO40" s="24" t="s">
        <v>159</v>
      </c>
      <c r="AP40" s="58">
        <v>4</v>
      </c>
      <c r="AQ40" s="58">
        <f>1/3.21</f>
        <v>0.3115264797507788</v>
      </c>
      <c r="AR40" s="58">
        <f>1/2.21</f>
        <v>0.45248868778280543</v>
      </c>
      <c r="AS40" s="58">
        <f>1/4.9</f>
        <v>0.2040816326530612</v>
      </c>
      <c r="AU40" s="24" t="s">
        <v>159</v>
      </c>
      <c r="AV40" s="58">
        <v>4</v>
      </c>
      <c r="AW40" s="58">
        <f>1/3.34</f>
        <v>0.29940119760479045</v>
      </c>
      <c r="AX40" s="58">
        <f>1/2.97</f>
        <v>0.33670033670033667</v>
      </c>
      <c r="AY40" s="58">
        <f>1/7.49</f>
        <v>0.13351134846461948</v>
      </c>
    </row>
    <row r="41" spans="41:51" ht="15">
      <c r="AO41" s="24" t="s">
        <v>160</v>
      </c>
      <c r="AP41" s="58">
        <f>4</f>
        <v>4</v>
      </c>
      <c r="AQ41" s="58">
        <f>1/3.53</f>
        <v>0.28328611898016998</v>
      </c>
      <c r="AR41" s="58">
        <f>1/0.95</f>
        <v>1.0526315789473684</v>
      </c>
      <c r="AS41" s="58">
        <f>1/2.19</f>
        <v>0.45662100456621008</v>
      </c>
      <c r="AU41" s="24" t="s">
        <v>160</v>
      </c>
      <c r="AV41" s="58">
        <f>4</f>
        <v>4</v>
      </c>
      <c r="AW41" s="58">
        <f>1/2.85</f>
        <v>0.35087719298245612</v>
      </c>
      <c r="AX41" s="58">
        <f>1/1.88</f>
        <v>0.53191489361702127</v>
      </c>
      <c r="AY41" s="58">
        <f>1/4.6</f>
        <v>0.21739130434782611</v>
      </c>
    </row>
    <row r="42" spans="41:51" ht="15">
      <c r="AO42" s="24" t="s">
        <v>161</v>
      </c>
      <c r="AP42" s="58">
        <f>4</f>
        <v>4</v>
      </c>
      <c r="AQ42" s="58">
        <f>1/4.15</f>
        <v>0.24096385542168672</v>
      </c>
      <c r="AR42" s="58">
        <f>1/0.39</f>
        <v>2.5641025641025639</v>
      </c>
      <c r="AS42" s="58">
        <f>1/2.09</f>
        <v>0.47846889952153115</v>
      </c>
      <c r="AU42" s="24" t="s">
        <v>161</v>
      </c>
      <c r="AV42" s="58">
        <f>4</f>
        <v>4</v>
      </c>
      <c r="AW42" s="58">
        <f>1/2.52</f>
        <v>0.3968253968253968</v>
      </c>
      <c r="AX42" s="58">
        <f>1/1.27</f>
        <v>0.78740157480314954</v>
      </c>
      <c r="AY42" s="58">
        <f>1/3.67</f>
        <v>0.27247956403269757</v>
      </c>
    </row>
    <row r="43" spans="41:51">
      <c r="AO43" s="32" t="s">
        <v>205</v>
      </c>
      <c r="AP43" s="58">
        <v>4</v>
      </c>
      <c r="AQ43" s="58">
        <f>1/1.5</f>
        <v>0.66666666666666663</v>
      </c>
      <c r="AR43" s="58">
        <f>1/1.45</f>
        <v>0.68965517241379315</v>
      </c>
      <c r="AS43" s="58">
        <f>1/1.08</f>
        <v>0.92592592592592582</v>
      </c>
      <c r="AU43" s="32" t="s">
        <v>205</v>
      </c>
      <c r="AV43" s="58">
        <v>4</v>
      </c>
      <c r="AW43" s="58">
        <f>1/1.5</f>
        <v>0.66666666666666663</v>
      </c>
      <c r="AX43" s="58">
        <f>1/2</f>
        <v>0.5</v>
      </c>
      <c r="AY43" s="58">
        <f>1/5.17</f>
        <v>0.19342359767891684</v>
      </c>
    </row>
  </sheetData>
  <mergeCells count="10">
    <mergeCell ref="AK1:AL1"/>
    <mergeCell ref="AI1:AJ1"/>
    <mergeCell ref="AP1:AT1"/>
    <mergeCell ref="AP28:AS28"/>
    <mergeCell ref="AV28:AY28"/>
    <mergeCell ref="AP37:AS37"/>
    <mergeCell ref="AV37:AY37"/>
    <mergeCell ref="AP7:AT7"/>
    <mergeCell ref="AP14:AT14"/>
    <mergeCell ref="AP20:AT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50"/>
  <sheetViews>
    <sheetView zoomScale="70" zoomScaleNormal="70" workbookViewId="0">
      <selection activeCell="Q3" sqref="Q3"/>
    </sheetView>
  </sheetViews>
  <sheetFormatPr defaultRowHeight="14.5"/>
  <cols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2:32">
      <c r="B1" t="s">
        <v>74</v>
      </c>
      <c r="Q1" s="31" t="s">
        <v>76</v>
      </c>
      <c r="AB1" t="s">
        <v>96</v>
      </c>
    </row>
    <row r="2" spans="2:32">
      <c r="B2" s="32" t="s">
        <v>186</v>
      </c>
      <c r="C2" s="32" t="s">
        <v>189</v>
      </c>
      <c r="D2" s="32" t="s">
        <v>190</v>
      </c>
      <c r="E2" s="32" t="s">
        <v>185</v>
      </c>
      <c r="F2" s="32" t="s">
        <v>184</v>
      </c>
      <c r="G2" s="32" t="s">
        <v>73</v>
      </c>
      <c r="R2" s="18" t="s">
        <v>73</v>
      </c>
      <c r="S2" s="18" t="s">
        <v>77</v>
      </c>
      <c r="T2" s="18" t="s">
        <v>78</v>
      </c>
      <c r="U2" s="18" t="s">
        <v>81</v>
      </c>
      <c r="AB2" s="32" t="s">
        <v>70</v>
      </c>
      <c r="AC2" s="18" t="s">
        <v>54</v>
      </c>
      <c r="AD2" s="18" t="s">
        <v>77</v>
      </c>
      <c r="AE2" s="18" t="s">
        <v>78</v>
      </c>
    </row>
    <row r="3" spans="2:32">
      <c r="B3" s="18" t="s">
        <v>187</v>
      </c>
      <c r="C3" s="18">
        <v>2004</v>
      </c>
      <c r="D3" s="18">
        <v>2006</v>
      </c>
      <c r="E3" s="47">
        <v>0</v>
      </c>
      <c r="F3" s="47">
        <v>0.35</v>
      </c>
      <c r="G3" s="18">
        <f>-LN(1-F3)/(D3-C3)</f>
        <v>0.21539145804622711</v>
      </c>
      <c r="Q3" s="18" t="s">
        <v>75</v>
      </c>
      <c r="R3" s="58">
        <v>0.7</v>
      </c>
      <c r="S3" s="18">
        <v>0.62</v>
      </c>
      <c r="T3" s="18">
        <v>0.76</v>
      </c>
      <c r="U3" s="18" t="s">
        <v>80</v>
      </c>
      <c r="V3" t="s">
        <v>83</v>
      </c>
      <c r="AB3" s="18" t="s">
        <v>95</v>
      </c>
      <c r="AC3" s="18">
        <v>0.02</v>
      </c>
      <c r="AD3" s="18">
        <v>1.2E-2</v>
      </c>
      <c r="AE3" s="18">
        <v>3.2000000000000001E-2</v>
      </c>
      <c r="AF3" s="36" t="s">
        <v>94</v>
      </c>
    </row>
    <row r="4" spans="2:32">
      <c r="B4" s="18" t="s">
        <v>188</v>
      </c>
      <c r="C4" s="18">
        <v>2006</v>
      </c>
      <c r="D4" s="18">
        <v>2014</v>
      </c>
      <c r="E4" s="18">
        <v>0</v>
      </c>
      <c r="F4" s="18">
        <v>0.36</v>
      </c>
      <c r="G4" s="18">
        <f>-LN(F4)/(D4-C4)</f>
        <v>0.12770640594149768</v>
      </c>
      <c r="Q4" s="18" t="s">
        <v>141</v>
      </c>
      <c r="R4" s="58">
        <v>0.8</v>
      </c>
      <c r="S4" s="18">
        <v>0.35399999999999998</v>
      </c>
      <c r="T4" s="18">
        <v>0.94199999999999995</v>
      </c>
      <c r="U4" s="18" t="s">
        <v>79</v>
      </c>
      <c r="V4" t="s">
        <v>82</v>
      </c>
      <c r="AB4" s="35" t="s">
        <v>92</v>
      </c>
      <c r="AC4" s="18">
        <v>9.0999999999999998E-2</v>
      </c>
      <c r="AD4" s="18">
        <v>7.5999999999999998E-2</v>
      </c>
      <c r="AE4" s="18">
        <v>0.109</v>
      </c>
    </row>
    <row r="5" spans="2:32">
      <c r="B5" s="18" t="s">
        <v>68</v>
      </c>
      <c r="C5" s="18"/>
      <c r="D5" s="18"/>
      <c r="E5" s="18"/>
      <c r="F5" s="18"/>
      <c r="G5" s="18"/>
      <c r="AB5" s="35" t="s">
        <v>93</v>
      </c>
      <c r="AC5" s="18">
        <v>9.0999999999999998E-2</v>
      </c>
      <c r="AD5" s="18">
        <v>7.5999999999999998E-2</v>
      </c>
      <c r="AE5" s="18">
        <v>0.109</v>
      </c>
    </row>
    <row r="6" spans="2:32">
      <c r="E6" s="23"/>
      <c r="F6" s="23"/>
      <c r="G6" s="23"/>
      <c r="AB6" s="18" t="s">
        <v>84</v>
      </c>
      <c r="AC6" s="18">
        <v>33.299999999999997</v>
      </c>
      <c r="AD6" s="18">
        <v>29.3</v>
      </c>
      <c r="AE6" s="18">
        <v>37.5</v>
      </c>
      <c r="AF6" s="36" t="s">
        <v>90</v>
      </c>
    </row>
    <row r="7" spans="2:32">
      <c r="E7" s="23"/>
      <c r="F7" s="23"/>
      <c r="G7" s="23"/>
      <c r="Q7" s="32" t="s">
        <v>146</v>
      </c>
      <c r="R7" s="18"/>
      <c r="AB7" s="18" t="s">
        <v>85</v>
      </c>
      <c r="AC7" s="18">
        <v>46.9</v>
      </c>
      <c r="AD7" s="18">
        <v>42.8</v>
      </c>
      <c r="AE7" s="18">
        <v>51.1</v>
      </c>
    </row>
    <row r="8" spans="2:32">
      <c r="E8" s="23"/>
      <c r="F8" s="23"/>
      <c r="G8" s="23"/>
      <c r="Q8" s="18" t="s">
        <v>142</v>
      </c>
      <c r="R8" s="18">
        <v>0.15</v>
      </c>
      <c r="AB8" s="18" t="s">
        <v>86</v>
      </c>
      <c r="AC8" s="18">
        <v>49.8</v>
      </c>
      <c r="AD8" s="18">
        <v>46.7</v>
      </c>
      <c r="AE8" s="18">
        <v>53</v>
      </c>
    </row>
    <row r="9" spans="2:32">
      <c r="E9" s="23"/>
      <c r="F9" s="23"/>
      <c r="G9" s="23"/>
      <c r="Q9" s="18" t="s">
        <v>143</v>
      </c>
      <c r="R9" s="18">
        <v>0.18</v>
      </c>
      <c r="AB9" s="18" t="s">
        <v>87</v>
      </c>
      <c r="AC9" s="18">
        <v>46.8</v>
      </c>
      <c r="AD9" s="18">
        <v>43.3</v>
      </c>
      <c r="AE9" s="18">
        <v>50.4</v>
      </c>
    </row>
    <row r="10" spans="2:32">
      <c r="Q10" s="18" t="s">
        <v>147</v>
      </c>
      <c r="R10" s="58">
        <f>AVERAGE(R8:R9)</f>
        <v>0.16499999999999998</v>
      </c>
      <c r="AB10" s="32" t="s">
        <v>88</v>
      </c>
      <c r="AC10" s="33"/>
      <c r="AD10" s="34"/>
      <c r="AE10" s="34"/>
    </row>
    <row r="11" spans="2:32">
      <c r="AB11" s="18" t="s">
        <v>89</v>
      </c>
      <c r="AC11" s="18">
        <v>23.2</v>
      </c>
      <c r="AD11" s="18">
        <v>19.5</v>
      </c>
      <c r="AE11" s="18">
        <v>27.3</v>
      </c>
    </row>
    <row r="12" spans="2:32">
      <c r="X12" s="23"/>
      <c r="AB12" s="49" t="s">
        <v>91</v>
      </c>
    </row>
    <row r="13" spans="2:32">
      <c r="Q13" t="s">
        <v>144</v>
      </c>
    </row>
    <row r="14" spans="2:32">
      <c r="Q14" t="s">
        <v>145</v>
      </c>
    </row>
    <row r="15" spans="2:32">
      <c r="AB15" s="32" t="s">
        <v>138</v>
      </c>
      <c r="AC15" s="32" t="s">
        <v>139</v>
      </c>
      <c r="AD15" s="32" t="s">
        <v>140</v>
      </c>
      <c r="AE15" s="53"/>
    </row>
    <row r="16" spans="2:32" ht="15.5">
      <c r="Q16" s="53" t="s">
        <v>149</v>
      </c>
      <c r="T16" s="53" t="s">
        <v>150</v>
      </c>
      <c r="AB16" s="18">
        <v>0</v>
      </c>
      <c r="AC16" s="50">
        <v>0</v>
      </c>
      <c r="AD16" s="18">
        <v>0</v>
      </c>
      <c r="AE16" s="52"/>
    </row>
    <row r="17" spans="17:30" ht="15.5">
      <c r="Q17" s="55">
        <v>2009</v>
      </c>
      <c r="R17" s="55">
        <v>2012</v>
      </c>
      <c r="T17" s="55">
        <v>2009</v>
      </c>
      <c r="U17" s="55">
        <v>2012</v>
      </c>
      <c r="AB17" s="18">
        <v>1</v>
      </c>
      <c r="AC17" s="50">
        <v>303</v>
      </c>
      <c r="AD17" s="18">
        <f t="shared" ref="AD17:AD50" si="0">AC17+AD16</f>
        <v>303</v>
      </c>
    </row>
    <row r="18" spans="17:30" ht="15.5">
      <c r="Q18" s="58">
        <v>0.1</v>
      </c>
      <c r="R18" s="58">
        <v>0.1</v>
      </c>
      <c r="T18" s="18">
        <v>0.18</v>
      </c>
      <c r="U18" s="18">
        <v>0.3</v>
      </c>
      <c r="AB18" s="18">
        <v>2</v>
      </c>
      <c r="AC18" s="50">
        <v>225</v>
      </c>
      <c r="AD18" s="18">
        <f t="shared" si="0"/>
        <v>528</v>
      </c>
    </row>
    <row r="19" spans="17:30" ht="15.5">
      <c r="Q19" s="36" t="s">
        <v>109</v>
      </c>
      <c r="T19" s="36" t="s">
        <v>148</v>
      </c>
      <c r="AB19" s="18">
        <v>3</v>
      </c>
      <c r="AC19" s="50">
        <v>372</v>
      </c>
      <c r="AD19" s="18">
        <f t="shared" si="0"/>
        <v>900</v>
      </c>
    </row>
    <row r="20" spans="17:30" ht="15.5">
      <c r="AB20" s="18">
        <v>4</v>
      </c>
      <c r="AC20" s="50">
        <v>237</v>
      </c>
      <c r="AD20" s="18">
        <f t="shared" si="0"/>
        <v>1137</v>
      </c>
    </row>
    <row r="21" spans="17:30" ht="15.5">
      <c r="AB21" s="18">
        <v>5</v>
      </c>
      <c r="AC21" s="50">
        <v>163</v>
      </c>
      <c r="AD21" s="18">
        <f t="shared" si="0"/>
        <v>1300</v>
      </c>
    </row>
    <row r="22" spans="17:30" ht="15.5">
      <c r="AB22" s="18">
        <v>6</v>
      </c>
      <c r="AC22" s="50">
        <v>354</v>
      </c>
      <c r="AD22" s="18">
        <f t="shared" si="0"/>
        <v>1654</v>
      </c>
    </row>
    <row r="23" spans="17:30" ht="15.5">
      <c r="AB23" s="18">
        <v>7</v>
      </c>
      <c r="AC23" s="50">
        <v>222</v>
      </c>
      <c r="AD23" s="18">
        <f t="shared" si="0"/>
        <v>1876</v>
      </c>
    </row>
    <row r="24" spans="17:30" ht="15.5">
      <c r="AB24" s="18">
        <v>8</v>
      </c>
      <c r="AC24" s="50">
        <v>309</v>
      </c>
      <c r="AD24" s="18">
        <f t="shared" si="0"/>
        <v>2185</v>
      </c>
    </row>
    <row r="25" spans="17:30" ht="15.5">
      <c r="AB25" s="18">
        <v>9</v>
      </c>
      <c r="AC25" s="50">
        <v>314</v>
      </c>
      <c r="AD25" s="18">
        <f t="shared" si="0"/>
        <v>2499</v>
      </c>
    </row>
    <row r="26" spans="17:30" ht="15.5">
      <c r="AB26" s="18">
        <v>10</v>
      </c>
      <c r="AC26" s="50">
        <v>219</v>
      </c>
      <c r="AD26" s="18">
        <f t="shared" si="0"/>
        <v>2718</v>
      </c>
    </row>
    <row r="27" spans="17:30" ht="15.5">
      <c r="AB27" s="18">
        <v>11</v>
      </c>
      <c r="AC27" s="50">
        <v>261</v>
      </c>
      <c r="AD27" s="18">
        <f t="shared" si="0"/>
        <v>2979</v>
      </c>
    </row>
    <row r="28" spans="17:30" ht="15.5">
      <c r="AB28" s="18">
        <v>12</v>
      </c>
      <c r="AC28" s="50">
        <v>454</v>
      </c>
      <c r="AD28" s="18">
        <f t="shared" si="0"/>
        <v>3433</v>
      </c>
    </row>
    <row r="29" spans="17:30" ht="15.5">
      <c r="AB29" s="18">
        <v>13</v>
      </c>
      <c r="AC29" s="50">
        <v>521</v>
      </c>
      <c r="AD29" s="18">
        <f t="shared" si="0"/>
        <v>3954</v>
      </c>
    </row>
    <row r="30" spans="17:30" ht="15.5">
      <c r="AB30" s="18">
        <v>14</v>
      </c>
      <c r="AC30" s="50">
        <v>626</v>
      </c>
      <c r="AD30" s="18">
        <f t="shared" si="0"/>
        <v>4580</v>
      </c>
    </row>
    <row r="31" spans="17:30" ht="15.5">
      <c r="AB31" s="18">
        <v>15</v>
      </c>
      <c r="AC31" s="50">
        <v>622</v>
      </c>
      <c r="AD31" s="18">
        <f t="shared" si="0"/>
        <v>5202</v>
      </c>
    </row>
    <row r="32" spans="17:30" ht="15.5">
      <c r="AB32" s="18">
        <v>16</v>
      </c>
      <c r="AC32" s="50">
        <v>450</v>
      </c>
      <c r="AD32" s="18">
        <f t="shared" si="0"/>
        <v>5652</v>
      </c>
    </row>
    <row r="33" spans="28:30" ht="15.5">
      <c r="AB33" s="18">
        <v>17</v>
      </c>
      <c r="AC33" s="50">
        <v>299</v>
      </c>
      <c r="AD33" s="18">
        <f t="shared" si="0"/>
        <v>5951</v>
      </c>
    </row>
    <row r="34" spans="28:30" ht="15.5">
      <c r="AB34" s="18">
        <v>18</v>
      </c>
      <c r="AC34" s="50">
        <v>296</v>
      </c>
      <c r="AD34" s="18">
        <f t="shared" si="0"/>
        <v>6247</v>
      </c>
    </row>
    <row r="35" spans="28:30" ht="15.5">
      <c r="AB35" s="18">
        <v>19</v>
      </c>
      <c r="AC35" s="50">
        <v>212</v>
      </c>
      <c r="AD35" s="18">
        <f t="shared" si="0"/>
        <v>6459</v>
      </c>
    </row>
    <row r="36" spans="28:30" ht="15.5">
      <c r="AB36" s="18">
        <v>20</v>
      </c>
      <c r="AC36" s="50">
        <v>273</v>
      </c>
      <c r="AD36" s="18">
        <f t="shared" si="0"/>
        <v>6732</v>
      </c>
    </row>
    <row r="37" spans="28:30" ht="15.5">
      <c r="AB37" s="18">
        <v>21</v>
      </c>
      <c r="AC37" s="50">
        <v>210</v>
      </c>
      <c r="AD37" s="18">
        <f t="shared" si="0"/>
        <v>6942</v>
      </c>
    </row>
    <row r="38" spans="28:30" ht="15.5">
      <c r="AB38" s="18">
        <v>22</v>
      </c>
      <c r="AC38" s="50">
        <v>269</v>
      </c>
      <c r="AD38" s="18">
        <f t="shared" si="0"/>
        <v>7211</v>
      </c>
    </row>
    <row r="39" spans="28:30" ht="15.5">
      <c r="AB39" s="18">
        <v>23</v>
      </c>
      <c r="AC39" s="50">
        <v>308</v>
      </c>
      <c r="AD39" s="18">
        <f t="shared" si="0"/>
        <v>7519</v>
      </c>
    </row>
    <row r="40" spans="28:30" ht="15.5">
      <c r="AB40" s="18">
        <v>24</v>
      </c>
      <c r="AC40" s="50">
        <v>500</v>
      </c>
      <c r="AD40" s="18">
        <f t="shared" si="0"/>
        <v>8019</v>
      </c>
    </row>
    <row r="41" spans="28:30" ht="15.5">
      <c r="AB41" s="18">
        <v>25</v>
      </c>
      <c r="AC41" s="50">
        <v>254</v>
      </c>
      <c r="AD41" s="18">
        <f t="shared" si="0"/>
        <v>8273</v>
      </c>
    </row>
    <row r="42" spans="28:30" ht="15.5">
      <c r="AB42" s="18">
        <v>26</v>
      </c>
      <c r="AC42" s="50">
        <v>207</v>
      </c>
      <c r="AD42" s="18">
        <f t="shared" si="0"/>
        <v>8480</v>
      </c>
    </row>
    <row r="43" spans="28:30" ht="15.5">
      <c r="AB43" s="18">
        <v>27</v>
      </c>
      <c r="AC43" s="50">
        <v>240</v>
      </c>
      <c r="AD43" s="18">
        <f t="shared" si="0"/>
        <v>8720</v>
      </c>
    </row>
    <row r="44" spans="28:30" ht="15.5">
      <c r="AB44" s="18">
        <v>28</v>
      </c>
      <c r="AC44" s="50">
        <v>163</v>
      </c>
      <c r="AD44" s="18">
        <f t="shared" si="0"/>
        <v>8883</v>
      </c>
    </row>
    <row r="45" spans="28:30" ht="15.5">
      <c r="AB45" s="18">
        <v>29</v>
      </c>
      <c r="AC45" s="50">
        <v>145</v>
      </c>
      <c r="AD45" s="18">
        <f t="shared" si="0"/>
        <v>9028</v>
      </c>
    </row>
    <row r="46" spans="28:30" ht="15.5">
      <c r="AB46" s="18">
        <v>30</v>
      </c>
      <c r="AC46" s="51">
        <v>189</v>
      </c>
      <c r="AD46" s="18">
        <f t="shared" si="0"/>
        <v>9217</v>
      </c>
    </row>
    <row r="47" spans="28:30" ht="15.5">
      <c r="AB47" s="18">
        <v>31</v>
      </c>
      <c r="AC47" s="51">
        <v>232</v>
      </c>
      <c r="AD47" s="18">
        <f t="shared" si="0"/>
        <v>9449</v>
      </c>
    </row>
    <row r="48" spans="28:30" ht="15.5">
      <c r="AB48" s="18">
        <v>32</v>
      </c>
      <c r="AC48" s="51">
        <v>176</v>
      </c>
      <c r="AD48" s="18">
        <f t="shared" si="0"/>
        <v>9625</v>
      </c>
    </row>
    <row r="49" spans="28:30" ht="15.5">
      <c r="AB49" s="18">
        <v>33</v>
      </c>
      <c r="AC49" s="51">
        <v>298</v>
      </c>
      <c r="AD49" s="18">
        <f t="shared" si="0"/>
        <v>9923</v>
      </c>
    </row>
    <row r="50" spans="28:30" ht="15.5">
      <c r="AB50" s="18">
        <v>34</v>
      </c>
      <c r="AC50" s="51">
        <v>57</v>
      </c>
      <c r="AD50" s="18">
        <f t="shared" si="0"/>
        <v>9980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4"/>
  <sheetViews>
    <sheetView topLeftCell="G25" workbookViewId="0">
      <selection activeCell="R38" sqref="R38"/>
    </sheetView>
  </sheetViews>
  <sheetFormatPr defaultRowHeight="14.5"/>
  <cols>
    <col min="1" max="1" width="36.7265625" bestFit="1" customWidth="1"/>
    <col min="2" max="2" width="14.36328125" bestFit="1" customWidth="1"/>
    <col min="10" max="10" width="6.81640625" bestFit="1" customWidth="1"/>
    <col min="13" max="13" width="6.81640625" bestFit="1" customWidth="1"/>
    <col min="16" max="16" width="6.81640625" bestFit="1" customWidth="1"/>
    <col min="30" max="30" width="9.54296875" customWidth="1"/>
    <col min="33" max="33" width="14.54296875" customWidth="1"/>
    <col min="36" max="36" width="10.08984375" customWidth="1"/>
  </cols>
  <sheetData>
    <row r="1" spans="1:40" ht="41.5" customHeight="1">
      <c r="A1" s="31" t="s">
        <v>103</v>
      </c>
      <c r="I1" s="31" t="s">
        <v>124</v>
      </c>
      <c r="T1" s="31" t="s">
        <v>125</v>
      </c>
      <c r="AE1" s="39" t="s">
        <v>37</v>
      </c>
      <c r="AF1" s="40" t="s">
        <v>112</v>
      </c>
      <c r="AG1" s="41" t="s">
        <v>77</v>
      </c>
      <c r="AH1" s="41" t="s">
        <v>78</v>
      </c>
      <c r="AI1" s="40" t="s">
        <v>113</v>
      </c>
      <c r="AJ1" s="41" t="s">
        <v>77</v>
      </c>
      <c r="AK1" s="41" t="s">
        <v>78</v>
      </c>
      <c r="AL1" s="40" t="s">
        <v>114</v>
      </c>
      <c r="AM1" s="41" t="s">
        <v>77</v>
      </c>
      <c r="AN1" s="41" t="s">
        <v>78</v>
      </c>
    </row>
    <row r="2" spans="1:40">
      <c r="A2" s="32" t="s">
        <v>104</v>
      </c>
      <c r="B2" s="32" t="s">
        <v>105</v>
      </c>
      <c r="C2" s="32" t="s">
        <v>106</v>
      </c>
      <c r="D2" s="32"/>
      <c r="E2" s="32" t="s">
        <v>107</v>
      </c>
      <c r="F2" s="32"/>
      <c r="J2" t="s">
        <v>115</v>
      </c>
      <c r="U2" t="s">
        <v>115</v>
      </c>
      <c r="AE2" s="42">
        <v>2004</v>
      </c>
      <c r="AF2" s="43">
        <v>21.8</v>
      </c>
      <c r="AG2" s="44">
        <v>20.9</v>
      </c>
      <c r="AH2" s="44">
        <v>22.7</v>
      </c>
      <c r="AI2" s="43">
        <v>22.4</v>
      </c>
      <c r="AJ2" s="44">
        <v>21.2</v>
      </c>
      <c r="AK2" s="44">
        <v>23.5</v>
      </c>
      <c r="AL2" s="43">
        <v>0</v>
      </c>
      <c r="AM2" s="44">
        <v>0</v>
      </c>
      <c r="AN2" s="44">
        <v>0.2</v>
      </c>
    </row>
    <row r="3" spans="1:40">
      <c r="B3" s="18"/>
      <c r="C3" s="18" t="s">
        <v>108</v>
      </c>
      <c r="D3" s="18" t="s">
        <v>1</v>
      </c>
      <c r="E3" s="18" t="s">
        <v>108</v>
      </c>
      <c r="F3" s="18" t="s">
        <v>1</v>
      </c>
      <c r="I3" t="s">
        <v>116</v>
      </c>
      <c r="T3" t="s">
        <v>116</v>
      </c>
      <c r="AE3" s="42">
        <v>2005</v>
      </c>
      <c r="AF3" s="43">
        <v>20.100000000000001</v>
      </c>
      <c r="AG3" s="44">
        <v>19.2</v>
      </c>
      <c r="AH3" s="44">
        <v>21</v>
      </c>
      <c r="AI3" s="43">
        <v>20</v>
      </c>
      <c r="AJ3" s="44">
        <v>19.2</v>
      </c>
      <c r="AK3" s="44">
        <v>20.9</v>
      </c>
      <c r="AL3" s="43">
        <v>1</v>
      </c>
      <c r="AM3" s="44">
        <v>0.61</v>
      </c>
      <c r="AN3" s="44">
        <v>1.4</v>
      </c>
    </row>
    <row r="4" spans="1:40" ht="15.5">
      <c r="A4" s="19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I4" s="18" t="s">
        <v>117</v>
      </c>
      <c r="J4" s="32">
        <v>2004</v>
      </c>
      <c r="K4" s="32">
        <v>2005</v>
      </c>
      <c r="L4" s="32">
        <v>2006</v>
      </c>
      <c r="M4" s="32">
        <v>2007</v>
      </c>
      <c r="N4" s="32">
        <v>2008</v>
      </c>
      <c r="O4" s="32">
        <v>2009</v>
      </c>
      <c r="P4" s="32">
        <v>2010</v>
      </c>
      <c r="Q4" s="32">
        <v>2011</v>
      </c>
      <c r="T4" s="18" t="s">
        <v>117</v>
      </c>
      <c r="U4" s="32">
        <v>2004</v>
      </c>
      <c r="V4" s="32">
        <v>2005</v>
      </c>
      <c r="W4" s="32">
        <v>2006</v>
      </c>
      <c r="X4" s="32">
        <v>2007</v>
      </c>
      <c r="Y4" s="32">
        <v>2008</v>
      </c>
      <c r="Z4" s="32">
        <v>2009</v>
      </c>
      <c r="AA4" s="32">
        <v>2010</v>
      </c>
      <c r="AB4" s="32">
        <v>2011</v>
      </c>
      <c r="AE4" s="42">
        <v>2006</v>
      </c>
      <c r="AF4" s="43">
        <v>19.8</v>
      </c>
      <c r="AG4" s="44">
        <v>18.899999999999999</v>
      </c>
      <c r="AH4" s="44">
        <v>20.7</v>
      </c>
      <c r="AI4" s="43">
        <v>20.3</v>
      </c>
      <c r="AJ4" s="44">
        <v>19.2</v>
      </c>
      <c r="AK4" s="44">
        <v>21.4</v>
      </c>
      <c r="AL4" s="43">
        <v>3.8</v>
      </c>
      <c r="AM4" s="44">
        <v>3.2</v>
      </c>
      <c r="AN4" s="44">
        <v>4.5999999999999996</v>
      </c>
    </row>
    <row r="5" spans="1:40" ht="15.5">
      <c r="A5" s="19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I5" s="32" t="s">
        <v>84</v>
      </c>
      <c r="J5" s="45">
        <v>0.126</v>
      </c>
      <c r="K5" s="45">
        <v>0.111</v>
      </c>
      <c r="L5" s="45">
        <v>0.115</v>
      </c>
      <c r="M5" s="45">
        <v>0.128</v>
      </c>
      <c r="N5" s="45">
        <v>0.14199999999999999</v>
      </c>
      <c r="O5" s="45">
        <v>0.153</v>
      </c>
      <c r="P5" s="45">
        <v>0.14799999999999999</v>
      </c>
      <c r="Q5" s="45">
        <v>0.14699999999999999</v>
      </c>
      <c r="T5" s="32" t="s">
        <v>84</v>
      </c>
      <c r="U5" s="45">
        <v>3.7999999999999999E-2</v>
      </c>
      <c r="V5" s="45">
        <v>5.1999999999999998E-2</v>
      </c>
      <c r="W5" s="45">
        <v>4.7E-2</v>
      </c>
      <c r="X5" s="45">
        <v>0.06</v>
      </c>
      <c r="Y5" s="45">
        <v>6.2E-2</v>
      </c>
      <c r="Z5" s="45">
        <v>7.8E-2</v>
      </c>
      <c r="AA5" s="45">
        <v>6.7000000000000004E-2</v>
      </c>
      <c r="AB5" s="45">
        <v>7.0000000000000007E-2</v>
      </c>
      <c r="AE5" s="42">
        <v>2007</v>
      </c>
      <c r="AF5" s="43">
        <v>22.2</v>
      </c>
      <c r="AG5" s="44">
        <v>21.1</v>
      </c>
      <c r="AH5" s="44">
        <v>23.1</v>
      </c>
      <c r="AI5" s="43">
        <v>22.7</v>
      </c>
      <c r="AJ5" s="44">
        <v>21.3</v>
      </c>
      <c r="AK5" s="44">
        <v>24.1</v>
      </c>
      <c r="AL5" s="43">
        <v>8.3000000000000007</v>
      </c>
      <c r="AM5" s="44">
        <v>7.4</v>
      </c>
      <c r="AN5" s="44">
        <v>9.3000000000000007</v>
      </c>
    </row>
    <row r="6" spans="1:40" ht="15.5">
      <c r="A6" s="19" t="s">
        <v>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I6" s="32" t="s">
        <v>85</v>
      </c>
      <c r="J6" s="45">
        <v>0.25600000000000001</v>
      </c>
      <c r="K6" s="45">
        <v>0.21099999999999999</v>
      </c>
      <c r="L6" s="45">
        <v>0.23200000000000001</v>
      </c>
      <c r="M6" s="45">
        <v>0.23699999999999999</v>
      </c>
      <c r="N6" s="45">
        <v>0.23100000000000001</v>
      </c>
      <c r="O6" s="45">
        <v>0.24399999999999999</v>
      </c>
      <c r="P6" s="45">
        <v>0.26</v>
      </c>
      <c r="Q6" s="45">
        <v>0.26500000000000001</v>
      </c>
      <c r="T6" s="32" t="s">
        <v>85</v>
      </c>
      <c r="U6" s="45">
        <v>8.3000000000000004E-2</v>
      </c>
      <c r="V6" s="45">
        <v>9.2999999999999999E-2</v>
      </c>
      <c r="W6" s="45">
        <v>8.2000000000000003E-2</v>
      </c>
      <c r="X6" s="45">
        <v>0.10199999999999999</v>
      </c>
      <c r="Y6" s="45">
        <v>0.10299999999999999</v>
      </c>
      <c r="Z6" s="45">
        <v>0.111</v>
      </c>
      <c r="AA6" s="45">
        <v>0.111</v>
      </c>
      <c r="AB6" s="45">
        <v>0.10199999999999999</v>
      </c>
      <c r="AE6" s="42">
        <v>2008</v>
      </c>
      <c r="AF6" s="43">
        <v>22.9</v>
      </c>
      <c r="AG6" s="44">
        <v>21.9</v>
      </c>
      <c r="AH6" s="44">
        <v>24</v>
      </c>
      <c r="AI6" s="43">
        <v>24</v>
      </c>
      <c r="AJ6" s="44">
        <v>23</v>
      </c>
      <c r="AK6" s="44">
        <v>25</v>
      </c>
      <c r="AL6" s="43">
        <v>14.3</v>
      </c>
      <c r="AM6" s="44">
        <v>13.2</v>
      </c>
      <c r="AN6" s="44">
        <v>15.5</v>
      </c>
    </row>
    <row r="7" spans="1:40" ht="15.5">
      <c r="A7" s="19" t="s">
        <v>5</v>
      </c>
      <c r="B7" s="18">
        <v>0.113</v>
      </c>
      <c r="C7" s="18">
        <v>2.5000000000000001E-2</v>
      </c>
      <c r="D7" s="18">
        <v>6.7000000000000004E-2</v>
      </c>
      <c r="E7" s="18">
        <v>2.1999999999999999E-2</v>
      </c>
      <c r="F7" s="18">
        <v>4.7E-2</v>
      </c>
      <c r="I7" s="32" t="s">
        <v>118</v>
      </c>
      <c r="J7" s="45">
        <v>0.38400000000000001</v>
      </c>
      <c r="K7" s="45">
        <v>0.309</v>
      </c>
      <c r="L7" s="45">
        <v>0.313</v>
      </c>
      <c r="M7" s="45">
        <v>0.32300000000000001</v>
      </c>
      <c r="N7" s="45">
        <v>0.33400000000000002</v>
      </c>
      <c r="O7" s="45">
        <v>0.33600000000000002</v>
      </c>
      <c r="P7" s="45">
        <v>0.40600000000000003</v>
      </c>
      <c r="Q7" s="45">
        <v>0.38300000000000001</v>
      </c>
      <c r="T7" s="32" t="s">
        <v>118</v>
      </c>
      <c r="U7" s="45">
        <v>0.19600000000000001</v>
      </c>
      <c r="V7" s="45">
        <v>0.158</v>
      </c>
      <c r="W7" s="45">
        <v>0.17199999999999999</v>
      </c>
      <c r="X7" s="45">
        <v>0.17599999999999999</v>
      </c>
      <c r="Y7" s="45">
        <v>0.18</v>
      </c>
      <c r="Z7" s="45">
        <v>0.183</v>
      </c>
      <c r="AA7" s="45">
        <v>0.2</v>
      </c>
      <c r="AB7" s="45">
        <v>0.16</v>
      </c>
      <c r="AE7" s="42">
        <v>2009</v>
      </c>
      <c r="AF7" s="43">
        <v>26.6</v>
      </c>
      <c r="AG7" s="44">
        <v>25.4</v>
      </c>
      <c r="AH7" s="44">
        <v>27.9</v>
      </c>
      <c r="AI7" s="43">
        <v>26.9</v>
      </c>
      <c r="AJ7" s="44">
        <v>25.8</v>
      </c>
      <c r="AK7" s="44">
        <v>28</v>
      </c>
      <c r="AL7" s="43">
        <v>20.100000000000001</v>
      </c>
      <c r="AM7" s="44">
        <v>18.8</v>
      </c>
      <c r="AN7" s="44">
        <v>21.3</v>
      </c>
    </row>
    <row r="8" spans="1:40" ht="15.5">
      <c r="A8" s="19" t="s">
        <v>6</v>
      </c>
      <c r="B8" s="18">
        <v>0.20200000000000001</v>
      </c>
      <c r="C8" s="18">
        <v>5.0999999999999997E-2</v>
      </c>
      <c r="D8" s="18">
        <v>0.21099999999999999</v>
      </c>
      <c r="E8" s="18">
        <v>3.7999999999999999E-2</v>
      </c>
      <c r="F8" s="18">
        <v>8.7999999999999995E-2</v>
      </c>
      <c r="I8" s="32" t="s">
        <v>119</v>
      </c>
      <c r="J8" s="45">
        <v>0.40899999999999997</v>
      </c>
      <c r="K8" s="45">
        <v>0.31900000000000001</v>
      </c>
      <c r="L8" s="45">
        <v>0.33100000000000002</v>
      </c>
      <c r="M8" s="45">
        <v>0.36399999999999999</v>
      </c>
      <c r="N8" s="45">
        <v>0.39500000000000002</v>
      </c>
      <c r="O8" s="45">
        <v>0.40200000000000002</v>
      </c>
      <c r="P8" s="45">
        <v>0.47799999999999998</v>
      </c>
      <c r="Q8" s="45">
        <v>0.47099999999999997</v>
      </c>
      <c r="T8" s="32" t="s">
        <v>119</v>
      </c>
      <c r="U8" s="45">
        <v>0.30099999999999999</v>
      </c>
      <c r="V8" s="45">
        <v>0.22800000000000001</v>
      </c>
      <c r="W8" s="45">
        <v>0.21</v>
      </c>
      <c r="X8" s="45">
        <v>0.23</v>
      </c>
      <c r="Y8" s="45">
        <v>0.218</v>
      </c>
      <c r="Z8" s="45">
        <v>0.27500000000000002</v>
      </c>
      <c r="AA8" s="45">
        <v>0.27400000000000002</v>
      </c>
      <c r="AB8" s="45">
        <v>0.27300000000000002</v>
      </c>
      <c r="AE8" s="42">
        <v>2010</v>
      </c>
      <c r="AF8" s="43">
        <v>29.2</v>
      </c>
      <c r="AG8" s="44">
        <v>28.1</v>
      </c>
      <c r="AH8" s="44">
        <v>30.2</v>
      </c>
      <c r="AI8" s="43">
        <v>28.5</v>
      </c>
      <c r="AJ8" s="44">
        <v>27.3</v>
      </c>
      <c r="AK8" s="44">
        <v>29.6</v>
      </c>
      <c r="AL8" s="43">
        <v>24.7</v>
      </c>
      <c r="AM8" s="44">
        <v>23.4</v>
      </c>
      <c r="AN8" s="44">
        <v>25.9</v>
      </c>
    </row>
    <row r="9" spans="1:40" ht="15.5">
      <c r="A9" s="19" t="s">
        <v>7</v>
      </c>
      <c r="B9" s="18">
        <v>0.36</v>
      </c>
      <c r="C9" s="18">
        <v>0.157</v>
      </c>
      <c r="D9" s="18">
        <v>0.32700000000000001</v>
      </c>
      <c r="E9" s="18">
        <v>9.0999999999999998E-2</v>
      </c>
      <c r="F9" s="18">
        <v>0.125</v>
      </c>
      <c r="I9" s="32" t="s">
        <v>120</v>
      </c>
      <c r="J9" s="45">
        <v>0.35</v>
      </c>
      <c r="K9" s="45">
        <v>0.33</v>
      </c>
      <c r="L9" s="45">
        <v>0.34100000000000003</v>
      </c>
      <c r="M9" s="45">
        <v>0.378</v>
      </c>
      <c r="N9" s="45">
        <v>0.40400000000000003</v>
      </c>
      <c r="O9" s="45">
        <v>0.42399999999999999</v>
      </c>
      <c r="P9" s="45">
        <v>0.50600000000000001</v>
      </c>
      <c r="Q9" s="45">
        <v>0.504</v>
      </c>
      <c r="T9" s="32" t="s">
        <v>120</v>
      </c>
      <c r="U9" s="45">
        <v>0.27100000000000002</v>
      </c>
      <c r="V9" s="45">
        <v>0.23899999999999999</v>
      </c>
      <c r="W9" s="45">
        <v>0.24399999999999999</v>
      </c>
      <c r="X9" s="45">
        <v>0.26500000000000001</v>
      </c>
      <c r="Y9" s="45">
        <v>0.29799999999999999</v>
      </c>
      <c r="Z9" s="45">
        <v>0.32</v>
      </c>
      <c r="AA9" s="45">
        <v>0.32700000000000001</v>
      </c>
      <c r="AB9" s="45">
        <v>0.32</v>
      </c>
      <c r="AE9" s="42">
        <v>2011</v>
      </c>
      <c r="AF9" s="43">
        <v>29</v>
      </c>
      <c r="AG9" s="44">
        <v>27.9</v>
      </c>
      <c r="AH9" s="44">
        <v>30.1</v>
      </c>
      <c r="AI9" s="43">
        <v>28.1</v>
      </c>
      <c r="AJ9" s="44">
        <v>26.9</v>
      </c>
      <c r="AK9" s="44">
        <v>29.2</v>
      </c>
      <c r="AL9" s="43">
        <v>30.7</v>
      </c>
      <c r="AM9" s="44">
        <v>29.3</v>
      </c>
      <c r="AN9" s="44">
        <v>32.1</v>
      </c>
    </row>
    <row r="10" spans="1:40" ht="15.5">
      <c r="A10" s="19" t="s">
        <v>18</v>
      </c>
      <c r="B10" s="18">
        <v>0.54800000000000004</v>
      </c>
      <c r="C10" s="18">
        <v>0.25800000000000001</v>
      </c>
      <c r="D10" s="18">
        <v>0.29099999999999998</v>
      </c>
      <c r="E10" s="18">
        <v>0.107</v>
      </c>
      <c r="F10" s="18">
        <v>0.10299999999999999</v>
      </c>
      <c r="I10" s="32" t="s">
        <v>121</v>
      </c>
      <c r="J10" s="45">
        <v>0.3</v>
      </c>
      <c r="K10" s="45">
        <v>0.32</v>
      </c>
      <c r="L10" s="45">
        <v>0.32800000000000001</v>
      </c>
      <c r="M10" s="45">
        <v>0.39600000000000002</v>
      </c>
      <c r="N10" s="45">
        <v>0.432</v>
      </c>
      <c r="O10" s="45">
        <v>0.46600000000000003</v>
      </c>
      <c r="P10" s="45">
        <v>0.51200000000000001</v>
      </c>
      <c r="Q10" s="45">
        <v>0.49099999999999999</v>
      </c>
      <c r="T10" s="32" t="s">
        <v>121</v>
      </c>
      <c r="U10" s="45">
        <v>0.27700000000000002</v>
      </c>
      <c r="V10" s="45">
        <v>0.24099999999999999</v>
      </c>
      <c r="W10" s="45">
        <v>0.248</v>
      </c>
      <c r="X10" s="45">
        <v>0.28899999999999998</v>
      </c>
      <c r="Y10" s="45">
        <v>0.29199999999999998</v>
      </c>
      <c r="Z10" s="45">
        <v>0.35499999999999998</v>
      </c>
      <c r="AA10" s="45">
        <v>0.37</v>
      </c>
      <c r="AB10" s="45">
        <v>0.35799999999999998</v>
      </c>
    </row>
    <row r="11" spans="1:40" ht="15.5">
      <c r="A11" s="19" t="s">
        <v>9</v>
      </c>
      <c r="B11" s="18">
        <v>0.627</v>
      </c>
      <c r="C11" s="18">
        <v>0.185</v>
      </c>
      <c r="D11" s="18">
        <v>0.248</v>
      </c>
      <c r="E11" s="18">
        <v>8.1000000000000003E-2</v>
      </c>
      <c r="F11" s="18">
        <v>9.1999999999999998E-2</v>
      </c>
      <c r="I11" s="32" t="s">
        <v>122</v>
      </c>
      <c r="J11" s="45">
        <v>0.29199999999999998</v>
      </c>
      <c r="K11" s="45">
        <v>0.32700000000000001</v>
      </c>
      <c r="L11" s="45">
        <v>0.313</v>
      </c>
      <c r="M11" s="45">
        <v>0.372</v>
      </c>
      <c r="N11" s="45">
        <v>0.432</v>
      </c>
      <c r="O11" s="45">
        <v>0.44900000000000001</v>
      </c>
      <c r="P11" s="45">
        <v>0.49399999999999999</v>
      </c>
      <c r="Q11" s="45">
        <v>0.503</v>
      </c>
      <c r="T11" s="32" t="s">
        <v>122</v>
      </c>
      <c r="U11" s="45">
        <v>0.22600000000000001</v>
      </c>
      <c r="V11" s="45">
        <v>0.25</v>
      </c>
      <c r="W11" s="45">
        <v>0.24</v>
      </c>
      <c r="X11" s="45">
        <v>0.308</v>
      </c>
      <c r="Y11" s="45">
        <v>0.30499999999999999</v>
      </c>
      <c r="Z11" s="45">
        <v>0.4</v>
      </c>
      <c r="AA11" s="45">
        <v>0.40200000000000002</v>
      </c>
      <c r="AB11" s="45">
        <v>0.39100000000000001</v>
      </c>
    </row>
    <row r="12" spans="1:40" ht="15.5">
      <c r="A12" s="19" t="s">
        <v>10</v>
      </c>
      <c r="B12" s="18">
        <v>0.41699999999999998</v>
      </c>
      <c r="C12" s="18">
        <v>0.192</v>
      </c>
      <c r="D12" s="18">
        <v>0.16300000000000001</v>
      </c>
      <c r="E12" s="18">
        <v>7.5999999999999998E-2</v>
      </c>
      <c r="F12" s="18">
        <v>7.4999999999999997E-2</v>
      </c>
    </row>
    <row r="13" spans="1:40" ht="15.5">
      <c r="A13" s="19" t="s">
        <v>11</v>
      </c>
      <c r="B13" s="18">
        <v>0.39</v>
      </c>
      <c r="C13" s="18">
        <v>6.4000000000000001E-2</v>
      </c>
      <c r="D13" s="18">
        <v>0.14099999999999999</v>
      </c>
      <c r="E13" s="18">
        <v>6.3E-2</v>
      </c>
      <c r="F13" s="18">
        <v>6.7000000000000004E-2</v>
      </c>
      <c r="I13" t="s">
        <v>123</v>
      </c>
      <c r="T13" t="s">
        <v>123</v>
      </c>
    </row>
    <row r="14" spans="1:40" ht="15.5">
      <c r="A14" s="19" t="s">
        <v>12</v>
      </c>
      <c r="B14" s="18">
        <v>0.2</v>
      </c>
      <c r="C14" s="18">
        <v>0.104</v>
      </c>
      <c r="D14" s="18">
        <v>0.122</v>
      </c>
      <c r="E14" s="18">
        <v>6.9000000000000006E-2</v>
      </c>
      <c r="F14" s="18">
        <v>0</v>
      </c>
    </row>
    <row r="15" spans="1:40" ht="15.5">
      <c r="A15" s="19" t="s">
        <v>13</v>
      </c>
      <c r="B15" s="18">
        <v>0.13400000000000001</v>
      </c>
      <c r="C15" s="18">
        <v>0.05</v>
      </c>
      <c r="D15" s="18">
        <v>0.05</v>
      </c>
      <c r="E15" s="18">
        <v>0</v>
      </c>
      <c r="F15" s="18">
        <v>0</v>
      </c>
    </row>
    <row r="16" spans="1:40">
      <c r="B16" t="s">
        <v>109</v>
      </c>
      <c r="C16" t="s">
        <v>110</v>
      </c>
      <c r="E16" t="s">
        <v>111</v>
      </c>
    </row>
    <row r="20" spans="1:24">
      <c r="A20" t="s">
        <v>175</v>
      </c>
      <c r="E20" t="s">
        <v>179</v>
      </c>
    </row>
    <row r="21" spans="1:24">
      <c r="A21" t="s">
        <v>37</v>
      </c>
      <c r="B21" t="s">
        <v>52</v>
      </c>
      <c r="E21" t="s">
        <v>37</v>
      </c>
      <c r="F21" t="s">
        <v>52</v>
      </c>
    </row>
    <row r="22" spans="1:24">
      <c r="A22">
        <v>1990</v>
      </c>
      <c r="B22" s="63">
        <v>5.0000000000000001E-3</v>
      </c>
      <c r="E22" s="65">
        <v>1990</v>
      </c>
      <c r="F22" s="66">
        <v>1.2E-2</v>
      </c>
      <c r="G22" s="66">
        <v>8.9999999999999993E-3</v>
      </c>
      <c r="H22" s="66">
        <v>1.4999999999999999E-2</v>
      </c>
      <c r="I22" s="36" t="s">
        <v>180</v>
      </c>
      <c r="R22" s="67"/>
      <c r="S22" s="67" t="s">
        <v>193</v>
      </c>
      <c r="T22" s="67"/>
      <c r="U22" s="67"/>
      <c r="V22" s="67" t="s">
        <v>194</v>
      </c>
      <c r="W22" s="67"/>
      <c r="X22" s="67"/>
    </row>
    <row r="23" spans="1:24">
      <c r="A23">
        <v>1991</v>
      </c>
      <c r="B23" s="63">
        <v>1.0999999999999999E-2</v>
      </c>
      <c r="E23" s="65">
        <v>1991</v>
      </c>
      <c r="F23" s="66">
        <v>2.87E-2</v>
      </c>
      <c r="G23" s="66">
        <v>2.18E-2</v>
      </c>
      <c r="H23" s="66">
        <v>3.56E-2</v>
      </c>
      <c r="R23" s="67"/>
      <c r="S23" s="67" t="s">
        <v>195</v>
      </c>
      <c r="T23" s="67" t="s">
        <v>196</v>
      </c>
      <c r="U23" s="67" t="s">
        <v>197</v>
      </c>
      <c r="V23" s="67" t="s">
        <v>195</v>
      </c>
      <c r="W23" s="67" t="s">
        <v>196</v>
      </c>
      <c r="X23" s="67" t="s">
        <v>197</v>
      </c>
    </row>
    <row r="24" spans="1:24">
      <c r="A24">
        <v>1992</v>
      </c>
      <c r="B24" s="63">
        <v>1.4999999999999999E-2</v>
      </c>
      <c r="E24" s="65">
        <v>1992</v>
      </c>
      <c r="F24" s="66">
        <v>4.8000000000000001E-2</v>
      </c>
      <c r="G24" s="66">
        <v>3.5799999999999998E-2</v>
      </c>
      <c r="H24" s="66">
        <v>5.9499999999999997E-2</v>
      </c>
      <c r="R24" s="67">
        <v>2005</v>
      </c>
      <c r="S24" s="67">
        <v>20</v>
      </c>
      <c r="T24" s="67">
        <v>18.600000000000001</v>
      </c>
      <c r="U24" s="67">
        <v>21.5</v>
      </c>
      <c r="V24" s="67">
        <v>28.9</v>
      </c>
      <c r="W24" s="67">
        <v>27.7</v>
      </c>
      <c r="X24" s="67">
        <v>30.1</v>
      </c>
    </row>
    <row r="25" spans="1:24">
      <c r="A25">
        <v>1993</v>
      </c>
      <c r="B25" s="63">
        <v>2.7E-2</v>
      </c>
      <c r="E25" s="65">
        <v>1993</v>
      </c>
      <c r="F25" s="66">
        <v>9.6199999999999994E-2</v>
      </c>
      <c r="G25" s="66">
        <v>8.0199999999999994E-2</v>
      </c>
      <c r="H25" s="66">
        <v>0.11210000000000001</v>
      </c>
      <c r="R25" s="67">
        <v>2006</v>
      </c>
      <c r="S25" s="67">
        <v>20.100000000000001</v>
      </c>
      <c r="T25" s="67">
        <v>18.600000000000001</v>
      </c>
      <c r="U25" s="67">
        <v>21.7</v>
      </c>
      <c r="V25" s="67">
        <v>28.8</v>
      </c>
      <c r="W25" s="67">
        <v>27.5</v>
      </c>
      <c r="X25" s="67">
        <v>30.1</v>
      </c>
    </row>
    <row r="26" spans="1:24">
      <c r="A26">
        <v>1994</v>
      </c>
      <c r="B26" s="63">
        <v>5.0999999999999997E-2</v>
      </c>
      <c r="E26" s="65">
        <v>1994</v>
      </c>
      <c r="F26" s="66">
        <v>0.14349999999999999</v>
      </c>
      <c r="G26" s="66">
        <v>0.1222</v>
      </c>
      <c r="H26" s="66">
        <v>0.1648</v>
      </c>
      <c r="R26" s="67">
        <v>2007</v>
      </c>
      <c r="S26" s="67">
        <v>20.8</v>
      </c>
      <c r="T26" s="67">
        <v>19.100000000000001</v>
      </c>
      <c r="U26" s="67">
        <v>22.6</v>
      </c>
      <c r="V26" s="67">
        <v>31.1</v>
      </c>
      <c r="W26" s="67">
        <v>29.7</v>
      </c>
      <c r="X26" s="67">
        <v>32.5</v>
      </c>
    </row>
    <row r="27" spans="1:24">
      <c r="A27">
        <v>1995</v>
      </c>
      <c r="B27" s="63">
        <v>6.9000000000000006E-2</v>
      </c>
      <c r="E27" s="65">
        <v>1995</v>
      </c>
      <c r="F27" s="66">
        <v>0.18229999999999999</v>
      </c>
      <c r="G27" s="66">
        <v>0.16339999999999999</v>
      </c>
      <c r="H27" s="66">
        <v>0.20250000000000001</v>
      </c>
      <c r="I27" s="36" t="s">
        <v>181</v>
      </c>
      <c r="R27" s="67">
        <v>2008</v>
      </c>
      <c r="S27" s="67">
        <v>20.3</v>
      </c>
      <c r="T27" s="67">
        <v>18.600000000000001</v>
      </c>
      <c r="U27" s="67">
        <v>22.1</v>
      </c>
      <c r="V27" s="67">
        <v>31.8</v>
      </c>
      <c r="W27" s="67">
        <v>30.4</v>
      </c>
      <c r="X27" s="67">
        <v>33.1</v>
      </c>
    </row>
    <row r="28" spans="1:24">
      <c r="A28">
        <v>1996</v>
      </c>
      <c r="B28" s="63">
        <v>9.5000000000000001E-2</v>
      </c>
      <c r="E28">
        <v>2002</v>
      </c>
      <c r="F28" s="63">
        <v>0.11700000000000001</v>
      </c>
      <c r="G28" s="63">
        <v>8.2000000000000003E-2</v>
      </c>
      <c r="H28" s="63">
        <v>0.152</v>
      </c>
      <c r="R28" s="67">
        <v>2009</v>
      </c>
      <c r="S28" s="67">
        <v>21.2</v>
      </c>
      <c r="T28" s="67">
        <v>19.5</v>
      </c>
      <c r="U28" s="67">
        <v>23</v>
      </c>
      <c r="V28" s="67">
        <v>32.6</v>
      </c>
      <c r="W28" s="67">
        <v>31.1</v>
      </c>
      <c r="X28" s="67">
        <v>34</v>
      </c>
    </row>
    <row r="29" spans="1:24">
      <c r="A29">
        <v>1997</v>
      </c>
      <c r="B29" s="63">
        <v>0.113</v>
      </c>
      <c r="E29">
        <v>2005</v>
      </c>
      <c r="F29" s="63">
        <v>0.16500000000000001</v>
      </c>
      <c r="G29" s="64">
        <v>0.14000000000000001</v>
      </c>
      <c r="H29" s="63">
        <v>0.193</v>
      </c>
      <c r="R29" s="67">
        <v>2010</v>
      </c>
      <c r="S29" s="67">
        <v>22.4</v>
      </c>
      <c r="T29" s="67">
        <v>20.7</v>
      </c>
      <c r="U29" s="67">
        <v>24.1</v>
      </c>
      <c r="V29" s="67">
        <v>35.9</v>
      </c>
      <c r="W29" s="67">
        <v>34.700000000000003</v>
      </c>
      <c r="X29" s="67">
        <v>37.200000000000003</v>
      </c>
    </row>
    <row r="30" spans="1:24">
      <c r="A30">
        <v>1998</v>
      </c>
      <c r="B30" s="63">
        <v>0.152</v>
      </c>
      <c r="E30">
        <v>2008</v>
      </c>
      <c r="F30" s="63">
        <v>0.158</v>
      </c>
      <c r="G30" s="63">
        <v>0.13400000000000001</v>
      </c>
      <c r="H30" s="63">
        <v>0.186</v>
      </c>
      <c r="R30" s="67">
        <v>2011</v>
      </c>
      <c r="S30" s="67">
        <v>20.8</v>
      </c>
      <c r="T30" s="67">
        <v>19.100000000000001</v>
      </c>
      <c r="U30" s="67">
        <v>22.5</v>
      </c>
      <c r="V30" s="67">
        <v>36.200000000000003</v>
      </c>
      <c r="W30" s="67">
        <v>34.9</v>
      </c>
      <c r="X30" s="67">
        <v>37.5</v>
      </c>
    </row>
    <row r="31" spans="1:24">
      <c r="A31">
        <v>1999</v>
      </c>
      <c r="B31" s="63">
        <v>0.14899999999999999</v>
      </c>
      <c r="E31">
        <v>2012</v>
      </c>
      <c r="F31" s="63">
        <v>0.17399999999999999</v>
      </c>
      <c r="G31" s="63">
        <v>0.158</v>
      </c>
      <c r="H31" s="63">
        <v>0.192</v>
      </c>
      <c r="I31" s="36" t="s">
        <v>182</v>
      </c>
      <c r="R31" s="67">
        <v>2012</v>
      </c>
      <c r="S31" s="67">
        <v>23.7</v>
      </c>
      <c r="T31" s="67">
        <v>21.6</v>
      </c>
      <c r="U31" s="67">
        <v>25.8</v>
      </c>
      <c r="V31" s="67">
        <v>38.299999999999997</v>
      </c>
      <c r="W31" s="67">
        <v>36.799999999999997</v>
      </c>
      <c r="X31" s="67">
        <v>39.9</v>
      </c>
    </row>
    <row r="32" spans="1:24">
      <c r="A32">
        <v>2000</v>
      </c>
      <c r="B32" s="63">
        <v>0.16300000000000001</v>
      </c>
      <c r="C32" t="s">
        <v>176</v>
      </c>
      <c r="E32" t="s">
        <v>183</v>
      </c>
      <c r="F32" s="63"/>
      <c r="R32" s="67">
        <v>2013</v>
      </c>
      <c r="S32" s="67">
        <v>27.9</v>
      </c>
      <c r="T32" s="67">
        <v>25.9</v>
      </c>
      <c r="U32" s="67">
        <v>29.9</v>
      </c>
      <c r="V32" s="67">
        <v>41.1</v>
      </c>
      <c r="W32" s="67">
        <v>39.700000000000003</v>
      </c>
      <c r="X32" s="67">
        <v>42.4</v>
      </c>
    </row>
    <row r="33" spans="1:20">
      <c r="A33">
        <v>2001</v>
      </c>
      <c r="B33" s="63">
        <v>0.223</v>
      </c>
      <c r="E33" s="65">
        <v>2002</v>
      </c>
      <c r="F33" s="66">
        <v>0.14899999999999999</v>
      </c>
      <c r="G33" s="66">
        <v>0.10100000000000001</v>
      </c>
      <c r="H33" s="66">
        <v>0.215</v>
      </c>
    </row>
    <row r="34" spans="1:20">
      <c r="A34">
        <v>2002</v>
      </c>
      <c r="B34" s="63">
        <v>0.24299999999999999</v>
      </c>
      <c r="E34" s="65">
        <v>2005</v>
      </c>
      <c r="F34" s="66">
        <v>0.20499999999999999</v>
      </c>
      <c r="G34" s="66">
        <v>0.16800000000000001</v>
      </c>
      <c r="H34" s="66">
        <v>0.246</v>
      </c>
    </row>
    <row r="35" spans="1:20">
      <c r="A35">
        <v>2003</v>
      </c>
      <c r="B35" s="64">
        <v>0.25</v>
      </c>
      <c r="E35" s="65">
        <v>2008</v>
      </c>
      <c r="F35" s="66">
        <v>0.23499999999999999</v>
      </c>
      <c r="G35" s="66">
        <v>0.19700000000000001</v>
      </c>
      <c r="H35" s="66">
        <v>0.27800000000000002</v>
      </c>
    </row>
    <row r="36" spans="1:20">
      <c r="A36">
        <v>2004</v>
      </c>
      <c r="B36" s="64">
        <v>0.27</v>
      </c>
      <c r="E36" s="65">
        <v>2012</v>
      </c>
      <c r="F36" s="66">
        <v>0.30099999999999999</v>
      </c>
      <c r="G36" s="66">
        <v>0.26900000000000002</v>
      </c>
      <c r="H36" s="66">
        <v>0.33600000000000002</v>
      </c>
      <c r="I36" s="36" t="s">
        <v>182</v>
      </c>
    </row>
    <row r="37" spans="1:20">
      <c r="A37">
        <v>2005</v>
      </c>
      <c r="B37" s="63">
        <v>0.26100000000000001</v>
      </c>
      <c r="R37" t="s">
        <v>200</v>
      </c>
    </row>
    <row r="38" spans="1:20">
      <c r="A38">
        <v>2006</v>
      </c>
      <c r="B38" s="63">
        <v>0.26100000000000001</v>
      </c>
      <c r="R38" s="68"/>
      <c r="S38" s="68" t="s">
        <v>198</v>
      </c>
      <c r="T38" s="68" t="s">
        <v>199</v>
      </c>
    </row>
    <row r="39" spans="1:20">
      <c r="A39">
        <v>2007</v>
      </c>
      <c r="B39" s="63">
        <v>0.25800000000000001</v>
      </c>
      <c r="R39" s="68">
        <v>2004</v>
      </c>
      <c r="S39" s="68">
        <v>69</v>
      </c>
      <c r="T39" s="68">
        <v>69</v>
      </c>
    </row>
    <row r="40" spans="1:20">
      <c r="A40">
        <v>2008</v>
      </c>
      <c r="B40" s="63">
        <v>0.25800000000000001</v>
      </c>
      <c r="R40" s="68">
        <v>2005</v>
      </c>
      <c r="S40" s="68">
        <v>671</v>
      </c>
      <c r="T40" s="68">
        <v>740</v>
      </c>
    </row>
    <row r="41" spans="1:20">
      <c r="A41">
        <v>2009</v>
      </c>
      <c r="B41" s="63">
        <v>0.26300000000000001</v>
      </c>
      <c r="R41" s="68">
        <v>2006</v>
      </c>
      <c r="S41" s="68">
        <v>1351</v>
      </c>
      <c r="T41" s="68">
        <v>2091</v>
      </c>
    </row>
    <row r="42" spans="1:20">
      <c r="A42">
        <v>2010</v>
      </c>
      <c r="B42" s="63">
        <v>0.26300000000000001</v>
      </c>
      <c r="C42" t="s">
        <v>178</v>
      </c>
      <c r="R42" s="68">
        <v>2007</v>
      </c>
      <c r="S42" s="68">
        <v>2252</v>
      </c>
      <c r="T42" s="68">
        <v>4343</v>
      </c>
    </row>
    <row r="43" spans="1:20">
      <c r="A43">
        <v>2012</v>
      </c>
      <c r="B43" s="63">
        <v>0.318</v>
      </c>
      <c r="C43" t="s">
        <v>177</v>
      </c>
      <c r="R43" s="68">
        <v>2008</v>
      </c>
      <c r="S43" s="68">
        <v>3659</v>
      </c>
      <c r="T43" s="68">
        <v>8002</v>
      </c>
    </row>
    <row r="44" spans="1:20">
      <c r="R44" s="68">
        <v>2009</v>
      </c>
      <c r="S44" s="68">
        <v>3396</v>
      </c>
      <c r="T44" s="68">
        <v>11398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5"/>
  <sheetViews>
    <sheetView topLeftCell="A4" workbookViewId="0">
      <selection activeCell="D19" sqref="D18:D19"/>
    </sheetView>
  </sheetViews>
  <sheetFormatPr defaultRowHeight="14.5"/>
  <cols>
    <col min="11" max="11" width="22.36328125" customWidth="1"/>
  </cols>
  <sheetData>
    <row r="1" spans="1:17" ht="15.5" thickBot="1">
      <c r="A1" s="81" t="s">
        <v>19</v>
      </c>
      <c r="B1" s="77" t="s">
        <v>20</v>
      </c>
      <c r="C1" s="77" t="s">
        <v>21</v>
      </c>
      <c r="D1" s="74" t="s">
        <v>22</v>
      </c>
      <c r="E1" s="75"/>
      <c r="F1" s="75"/>
      <c r="G1" s="75"/>
      <c r="H1" s="76"/>
    </row>
    <row r="2" spans="1:17" ht="42">
      <c r="A2" s="82"/>
      <c r="B2" s="84"/>
      <c r="C2" s="84"/>
      <c r="D2" s="77" t="s">
        <v>23</v>
      </c>
      <c r="E2" s="77" t="s">
        <v>24</v>
      </c>
      <c r="F2" s="9" t="s">
        <v>25</v>
      </c>
      <c r="G2" s="9" t="s">
        <v>27</v>
      </c>
      <c r="H2" s="77" t="s">
        <v>29</v>
      </c>
      <c r="K2" s="17" t="s">
        <v>57</v>
      </c>
      <c r="L2" s="18"/>
      <c r="M2" s="18"/>
      <c r="N2" s="18"/>
      <c r="O2" s="18"/>
      <c r="P2" s="18"/>
      <c r="Q2" s="18"/>
    </row>
    <row r="3" spans="1:17" ht="47" thickBot="1">
      <c r="A3" s="83"/>
      <c r="B3" s="78"/>
      <c r="C3" s="78"/>
      <c r="D3" s="78"/>
      <c r="E3" s="78"/>
      <c r="F3" s="7" t="s">
        <v>26</v>
      </c>
      <c r="G3" s="7" t="s">
        <v>28</v>
      </c>
      <c r="H3" s="78"/>
      <c r="K3" s="18" t="s">
        <v>19</v>
      </c>
      <c r="L3" s="18"/>
      <c r="M3" s="18"/>
      <c r="N3" s="18"/>
      <c r="O3" s="18"/>
      <c r="P3" s="18"/>
      <c r="Q3" s="18"/>
    </row>
    <row r="4" spans="1:17" ht="16" thickBot="1">
      <c r="A4" s="3" t="s">
        <v>2</v>
      </c>
      <c r="B4" s="4">
        <v>0.03</v>
      </c>
      <c r="C4" s="4">
        <v>0.03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K4" s="19" t="s">
        <v>2</v>
      </c>
      <c r="L4" s="18">
        <f>$B$4*8.16</f>
        <v>0.24479999999999999</v>
      </c>
      <c r="M4" s="20">
        <v>0.01</v>
      </c>
      <c r="N4" s="20">
        <v>0.01</v>
      </c>
      <c r="O4" s="20">
        <v>0.05</v>
      </c>
      <c r="P4" s="20">
        <v>0.08</v>
      </c>
      <c r="Q4" s="18">
        <f>1/1.96</f>
        <v>0.51020408163265307</v>
      </c>
    </row>
    <row r="5" spans="1:17" ht="16" thickBot="1">
      <c r="A5" s="3" t="s">
        <v>3</v>
      </c>
      <c r="B5" s="4">
        <v>6.7400000000000003E-3</v>
      </c>
      <c r="C5" s="4">
        <v>6.0800000000000003E-3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K5" s="19" t="s">
        <v>3</v>
      </c>
      <c r="L5" s="18">
        <f t="shared" ref="L5:L15" si="0">$B$4*8.16</f>
        <v>0.24479999999999999</v>
      </c>
      <c r="M5" s="20">
        <v>0.01</v>
      </c>
      <c r="N5" s="20">
        <v>0.01</v>
      </c>
      <c r="O5" s="20">
        <v>0.05</v>
      </c>
      <c r="P5" s="20">
        <v>0.08</v>
      </c>
      <c r="Q5" s="18">
        <f t="shared" ref="Q5:Q15" si="1">1/1.96</f>
        <v>0.51020408163265307</v>
      </c>
    </row>
    <row r="6" spans="1:17" ht="16" thickBot="1">
      <c r="A6" s="3" t="s">
        <v>4</v>
      </c>
      <c r="B6" s="4">
        <v>4.7999999999999996E-3</v>
      </c>
      <c r="C6" s="4">
        <v>4.3E-3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K6" s="19" t="s">
        <v>4</v>
      </c>
      <c r="L6" s="18">
        <f t="shared" si="0"/>
        <v>0.24479999999999999</v>
      </c>
      <c r="M6" s="20">
        <v>0.01</v>
      </c>
      <c r="N6" s="20">
        <v>0.01</v>
      </c>
      <c r="O6" s="20">
        <v>0.05</v>
      </c>
      <c r="P6" s="20">
        <v>0.08</v>
      </c>
      <c r="Q6" s="18">
        <f t="shared" si="1"/>
        <v>0.51020408163265307</v>
      </c>
    </row>
    <row r="7" spans="1:17" ht="16" thickBot="1">
      <c r="A7" s="3" t="s">
        <v>5</v>
      </c>
      <c r="B7" s="4">
        <v>4.7099999999999998E-3</v>
      </c>
      <c r="C7" s="4">
        <v>4.3200000000000001E-3</v>
      </c>
      <c r="D7" s="4">
        <v>0.17499999999999999</v>
      </c>
      <c r="E7" s="4">
        <v>0.13819999999999999</v>
      </c>
      <c r="F7" s="4">
        <v>7.8799999999999995E-2</v>
      </c>
      <c r="G7" s="4">
        <v>4.7300000000000002E-2</v>
      </c>
      <c r="H7" s="4">
        <v>3.32E-2</v>
      </c>
      <c r="K7" s="19" t="s">
        <v>5</v>
      </c>
      <c r="L7" s="18">
        <f t="shared" si="0"/>
        <v>0.24479999999999999</v>
      </c>
      <c r="M7" s="20">
        <v>0.01</v>
      </c>
      <c r="N7" s="20">
        <v>0.01</v>
      </c>
      <c r="O7" s="20">
        <v>0.05</v>
      </c>
      <c r="P7" s="20">
        <v>0.08</v>
      </c>
      <c r="Q7" s="18">
        <f t="shared" si="1"/>
        <v>0.51020408163265307</v>
      </c>
    </row>
    <row r="8" spans="1:17" ht="16" thickBot="1">
      <c r="A8" s="3" t="s">
        <v>6</v>
      </c>
      <c r="B8" s="4">
        <v>8.5000000000000006E-3</v>
      </c>
      <c r="C8" s="4">
        <v>8.9499999999999996E-3</v>
      </c>
      <c r="D8" s="4">
        <v>0.313</v>
      </c>
      <c r="E8" s="4">
        <v>0.24729999999999999</v>
      </c>
      <c r="F8" s="4">
        <v>0.1409</v>
      </c>
      <c r="G8" s="4">
        <v>8.4500000000000006E-2</v>
      </c>
      <c r="H8" s="4">
        <v>5.9499999999999997E-2</v>
      </c>
      <c r="K8" s="19" t="s">
        <v>6</v>
      </c>
      <c r="L8" s="18">
        <f t="shared" si="0"/>
        <v>0.24479999999999999</v>
      </c>
      <c r="M8" s="20">
        <v>0.01</v>
      </c>
      <c r="N8" s="20">
        <v>0.01</v>
      </c>
      <c r="O8" s="20">
        <v>0.05</v>
      </c>
      <c r="P8" s="20">
        <v>0.08</v>
      </c>
      <c r="Q8" s="18">
        <f t="shared" si="1"/>
        <v>0.51020408163265307</v>
      </c>
    </row>
    <row r="9" spans="1:17" ht="16" thickBot="1">
      <c r="A9" s="3" t="s">
        <v>7</v>
      </c>
      <c r="B9" s="4">
        <v>1.4999999999999999E-2</v>
      </c>
      <c r="C9" s="4">
        <v>1.5480000000000001E-2</v>
      </c>
      <c r="D9" s="4">
        <v>0.32400000000000001</v>
      </c>
      <c r="E9" s="4">
        <v>0.25600000000000001</v>
      </c>
      <c r="F9" s="4">
        <v>0.14580000000000001</v>
      </c>
      <c r="G9" s="4">
        <v>8.7499999999999994E-2</v>
      </c>
      <c r="H9" s="4">
        <v>6.1600000000000002E-2</v>
      </c>
      <c r="K9" s="19" t="s">
        <v>7</v>
      </c>
      <c r="L9" s="18">
        <f t="shared" si="0"/>
        <v>0.24479999999999999</v>
      </c>
      <c r="M9" s="20">
        <v>0.01</v>
      </c>
      <c r="N9" s="20">
        <v>0.01</v>
      </c>
      <c r="O9" s="20">
        <v>0.05</v>
      </c>
      <c r="P9" s="20">
        <v>0.08</v>
      </c>
      <c r="Q9" s="18">
        <f t="shared" si="1"/>
        <v>0.51020408163265307</v>
      </c>
    </row>
    <row r="10" spans="1:17" ht="16" thickBot="1">
      <c r="A10" s="3" t="s">
        <v>18</v>
      </c>
      <c r="B10" s="4">
        <v>2.0920000000000001E-2</v>
      </c>
      <c r="C10" s="4">
        <v>1.6539999999999999E-2</v>
      </c>
      <c r="D10" s="4">
        <v>0.27100000000000002</v>
      </c>
      <c r="E10" s="4">
        <v>0.21410000000000001</v>
      </c>
      <c r="F10" s="4">
        <v>0.1221</v>
      </c>
      <c r="G10" s="4">
        <v>7.3200000000000001E-2</v>
      </c>
      <c r="H10" s="4">
        <v>5.1499999999999997E-2</v>
      </c>
      <c r="K10" s="19" t="s">
        <v>18</v>
      </c>
      <c r="L10" s="18">
        <f t="shared" si="0"/>
        <v>0.24479999999999999</v>
      </c>
      <c r="M10" s="20">
        <v>0.01</v>
      </c>
      <c r="N10" s="20">
        <v>0.01</v>
      </c>
      <c r="O10" s="20">
        <v>0.05</v>
      </c>
      <c r="P10" s="20">
        <v>0.08</v>
      </c>
      <c r="Q10" s="18">
        <f t="shared" si="1"/>
        <v>0.51020408163265307</v>
      </c>
    </row>
    <row r="11" spans="1:17" ht="16" thickBot="1">
      <c r="A11" s="3" t="s">
        <v>9</v>
      </c>
      <c r="B11" s="4">
        <v>2.742E-2</v>
      </c>
      <c r="C11" s="4">
        <v>1.77E-2</v>
      </c>
      <c r="D11" s="4">
        <v>0.20100000000000001</v>
      </c>
      <c r="E11" s="4">
        <v>0.1588</v>
      </c>
      <c r="F11" s="4">
        <v>9.0499999999999997E-2</v>
      </c>
      <c r="G11" s="4">
        <v>5.4300000000000001E-2</v>
      </c>
      <c r="H11" s="4">
        <v>3.8199999999999998E-2</v>
      </c>
      <c r="K11" s="19" t="s">
        <v>9</v>
      </c>
      <c r="L11" s="18">
        <f t="shared" si="0"/>
        <v>0.24479999999999999</v>
      </c>
      <c r="M11" s="20">
        <v>0.01</v>
      </c>
      <c r="N11" s="20">
        <v>0.01</v>
      </c>
      <c r="O11" s="20">
        <v>0.05</v>
      </c>
      <c r="P11" s="20">
        <v>0.08</v>
      </c>
      <c r="Q11" s="18">
        <f t="shared" si="1"/>
        <v>0.51020408163265307</v>
      </c>
    </row>
    <row r="12" spans="1:17" ht="16" thickBot="1">
      <c r="A12" s="3" t="s">
        <v>10</v>
      </c>
      <c r="B12" s="4">
        <v>2.8920000000000001E-2</v>
      </c>
      <c r="C12" s="4">
        <v>1.7100000000000001E-2</v>
      </c>
      <c r="D12" s="4">
        <v>0.125</v>
      </c>
      <c r="E12" s="4">
        <v>9.8799999999999999E-2</v>
      </c>
      <c r="F12" s="4">
        <v>5.6300000000000003E-2</v>
      </c>
      <c r="G12" s="4">
        <v>3.3799999999999997E-2</v>
      </c>
      <c r="H12" s="4">
        <v>2.3800000000000002E-2</v>
      </c>
      <c r="K12" s="19" t="s">
        <v>10</v>
      </c>
      <c r="L12" s="18">
        <f t="shared" si="0"/>
        <v>0.24479999999999999</v>
      </c>
      <c r="M12" s="20">
        <v>0.01</v>
      </c>
      <c r="N12" s="20">
        <v>0.01</v>
      </c>
      <c r="O12" s="20">
        <v>0.05</v>
      </c>
      <c r="P12" s="20">
        <v>0.08</v>
      </c>
      <c r="Q12" s="18">
        <f t="shared" si="1"/>
        <v>0.51020408163265307</v>
      </c>
    </row>
    <row r="13" spans="1:17" ht="16" thickBot="1">
      <c r="A13" s="3" t="s">
        <v>11</v>
      </c>
      <c r="B13" s="4">
        <v>2.8899999999999999E-2</v>
      </c>
      <c r="C13" s="4">
        <v>2.4230000000000002E-2</v>
      </c>
      <c r="D13" s="4">
        <v>5.2999999999999999E-2</v>
      </c>
      <c r="E13" s="4">
        <v>4.19E-2</v>
      </c>
      <c r="F13" s="4">
        <v>2.3900000000000001E-2</v>
      </c>
      <c r="G13" s="4">
        <v>1.43E-2</v>
      </c>
      <c r="H13" s="4">
        <v>1.01E-2</v>
      </c>
      <c r="K13" s="19" t="s">
        <v>11</v>
      </c>
      <c r="L13" s="18">
        <f t="shared" si="0"/>
        <v>0.24479999999999999</v>
      </c>
      <c r="M13" s="20">
        <v>0.01</v>
      </c>
      <c r="N13" s="20">
        <v>0.01</v>
      </c>
      <c r="O13" s="20">
        <v>0.05</v>
      </c>
      <c r="P13" s="20">
        <v>0.08</v>
      </c>
      <c r="Q13" s="18">
        <f t="shared" si="1"/>
        <v>0.51020408163265307</v>
      </c>
    </row>
    <row r="14" spans="1:17" ht="16" thickBot="1">
      <c r="A14" s="3" t="s">
        <v>12</v>
      </c>
      <c r="B14" s="4">
        <v>2.6040000000000001E-2</v>
      </c>
      <c r="C14" s="4">
        <v>2.3519999999999999E-2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K14" s="19" t="s">
        <v>12</v>
      </c>
      <c r="L14" s="18">
        <f t="shared" si="0"/>
        <v>0.24479999999999999</v>
      </c>
      <c r="M14" s="20">
        <v>0.01</v>
      </c>
      <c r="N14" s="20">
        <v>0.01</v>
      </c>
      <c r="O14" s="20">
        <v>0.05</v>
      </c>
      <c r="P14" s="20">
        <v>0.08</v>
      </c>
      <c r="Q14" s="18">
        <f t="shared" si="1"/>
        <v>0.51020408163265307</v>
      </c>
    </row>
    <row r="15" spans="1:17" ht="16" thickBot="1">
      <c r="A15" s="3" t="s">
        <v>13</v>
      </c>
      <c r="B15" s="4">
        <v>4.5929999999999999E-2</v>
      </c>
      <c r="C15" s="4">
        <v>1.7350000000000001E-2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K15" s="19" t="s">
        <v>13</v>
      </c>
      <c r="L15" s="18">
        <f t="shared" si="0"/>
        <v>0.24479999999999999</v>
      </c>
      <c r="M15" s="20">
        <v>0.01</v>
      </c>
      <c r="N15" s="20">
        <v>0.01</v>
      </c>
      <c r="O15" s="20">
        <v>0.05</v>
      </c>
      <c r="P15" s="20">
        <v>0.08</v>
      </c>
      <c r="Q15" s="18">
        <f t="shared" si="1"/>
        <v>0.51020408163265307</v>
      </c>
    </row>
  </sheetData>
  <mergeCells count="7">
    <mergeCell ref="A1:A3"/>
    <mergeCell ref="B1:B3"/>
    <mergeCell ref="C1:C3"/>
    <mergeCell ref="D1:H1"/>
    <mergeCell ref="D2:D3"/>
    <mergeCell ref="E2:E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Disease Data</vt:lpstr>
      <vt:lpstr>Protection</vt:lpstr>
      <vt:lpstr>Actual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Nicholas Tan</cp:lastModifiedBy>
  <dcterms:created xsi:type="dcterms:W3CDTF">2016-11-08T18:52:01Z</dcterms:created>
  <dcterms:modified xsi:type="dcterms:W3CDTF">2017-06-19T19:43:15Z</dcterms:modified>
</cp:coreProperties>
</file>