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xr:revisionPtr revIDLastSave="0" documentId="13_ncr:1_{4B97C17D-52E4-4A8A-B447-72D9D9AF53A9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CC rates" sheetId="1" r:id="rId1"/>
    <sheet name="Notes" sheetId="3" r:id="rId2"/>
  </sheets>
  <calcPr calcId="191029"/>
  <extLst>
    <ext uri="GoogleSheetsCustomDataVersion1">
      <go:sheetsCustomData xmlns:go="http://customooxmlschemas.google.com/" r:id="rId7" roundtripDataSignature="AMtx7mg78SstH1pCNcp6KMQe7uZ+k3Xv6Q=="/>
    </ext>
  </extLst>
</workbook>
</file>

<file path=xl/calcChain.xml><?xml version="1.0" encoding="utf-8"?>
<calcChain xmlns="http://schemas.openxmlformats.org/spreadsheetml/2006/main">
  <c r="X5" i="1" l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Q18" i="1"/>
  <c r="P11" i="1"/>
  <c r="R11" i="1" s="1"/>
  <c r="S11" i="1" s="1"/>
  <c r="P12" i="1"/>
  <c r="R12" i="1" s="1"/>
  <c r="P13" i="1"/>
  <c r="R13" i="1" s="1"/>
  <c r="P14" i="1"/>
  <c r="R14" i="1" s="1"/>
  <c r="S14" i="1" s="1"/>
  <c r="U14" i="1" s="1"/>
  <c r="P15" i="1"/>
  <c r="R15" i="1" s="1"/>
  <c r="P16" i="1"/>
  <c r="R16" i="1" s="1"/>
  <c r="P10" i="1"/>
  <c r="R10" i="1" s="1"/>
  <c r="S10" i="1" s="1"/>
  <c r="U10" i="1" s="1"/>
  <c r="P9" i="1"/>
  <c r="R9" i="1" s="1"/>
  <c r="P8" i="1"/>
  <c r="R8" i="1" s="1"/>
  <c r="S8" i="1" s="1"/>
  <c r="P7" i="1"/>
  <c r="R7" i="1" s="1"/>
  <c r="S7" i="1" s="1"/>
  <c r="P6" i="1"/>
  <c r="R6" i="1" s="1"/>
  <c r="S6" i="1" s="1"/>
  <c r="P5" i="1"/>
  <c r="R5" i="1" s="1"/>
  <c r="S5" i="1" s="1"/>
  <c r="P4" i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C5" i="1"/>
  <c r="C6" i="1"/>
  <c r="C7" i="1"/>
  <c r="C8" i="1"/>
  <c r="C9" i="1"/>
  <c r="C10" i="1"/>
  <c r="C11" i="1"/>
  <c r="C12" i="1"/>
  <c r="C13" i="1"/>
  <c r="C14" i="1"/>
  <c r="C15" i="1"/>
  <c r="C4" i="1"/>
  <c r="T13" i="1" l="1"/>
  <c r="U11" i="1"/>
  <c r="U5" i="1"/>
  <c r="T12" i="1"/>
  <c r="T16" i="1"/>
  <c r="T15" i="1"/>
  <c r="T9" i="1"/>
  <c r="U8" i="1"/>
  <c r="U7" i="1"/>
  <c r="U6" i="1"/>
  <c r="T14" i="1"/>
  <c r="V14" i="1" s="1"/>
  <c r="Y14" i="1" s="1"/>
  <c r="S16" i="1"/>
  <c r="U16" i="1" s="1"/>
  <c r="V16" i="1" s="1"/>
  <c r="Y16" i="1" s="1"/>
  <c r="S15" i="1"/>
  <c r="U15" i="1" s="1"/>
  <c r="S13" i="1"/>
  <c r="U13" i="1" s="1"/>
  <c r="V13" i="1" s="1"/>
  <c r="Y13" i="1" s="1"/>
  <c r="Z13" i="1" s="1"/>
  <c r="S12" i="1"/>
  <c r="U12" i="1" s="1"/>
  <c r="T11" i="1"/>
  <c r="V11" i="1" s="1"/>
  <c r="Y11" i="1" s="1"/>
  <c r="Z11" i="1" s="1"/>
  <c r="AB11" i="1" s="1"/>
  <c r="T10" i="1"/>
  <c r="V10" i="1" s="1"/>
  <c r="Y10" i="1" s="1"/>
  <c r="Z10" i="1" s="1"/>
  <c r="AB10" i="1" s="1"/>
  <c r="S9" i="1"/>
  <c r="U9" i="1" s="1"/>
  <c r="T8" i="1"/>
  <c r="T7" i="1"/>
  <c r="T6" i="1"/>
  <c r="T5" i="1"/>
  <c r="V5" i="1" s="1"/>
  <c r="Y5" i="1" s="1"/>
  <c r="Z5" i="1" s="1"/>
  <c r="AB5" i="1" s="1"/>
  <c r="V9" i="1" l="1"/>
  <c r="Y9" i="1" s="1"/>
  <c r="Z9" i="1" s="1"/>
  <c r="AB9" i="1" s="1"/>
  <c r="V15" i="1"/>
  <c r="Y15" i="1" s="1"/>
  <c r="V6" i="1"/>
  <c r="Y6" i="1" s="1"/>
  <c r="Z6" i="1" s="1"/>
  <c r="AB6" i="1" s="1"/>
  <c r="V7" i="1"/>
  <c r="Y7" i="1" s="1"/>
  <c r="Z7" i="1" s="1"/>
  <c r="AB7" i="1" s="1"/>
  <c r="V8" i="1"/>
  <c r="Y8" i="1" s="1"/>
  <c r="Z8" i="1" s="1"/>
  <c r="AB8" i="1" s="1"/>
  <c r="V12" i="1"/>
  <c r="Y12" i="1" s="1"/>
  <c r="Z12" i="1" s="1"/>
  <c r="AB12" i="1" s="1"/>
  <c r="Z14" i="1"/>
  <c r="AB13" i="1"/>
  <c r="AA11" i="1"/>
  <c r="AA7" i="1"/>
  <c r="C18" i="1"/>
  <c r="B18" i="1"/>
  <c r="R4" i="1"/>
  <c r="S4" i="1" s="1"/>
  <c r="I4" i="1"/>
  <c r="Z15" i="1" l="1"/>
  <c r="AB15" i="1" s="1"/>
  <c r="AB14" i="1"/>
  <c r="D18" i="1"/>
  <c r="L13" i="1"/>
  <c r="K15" i="1"/>
  <c r="L15" i="1"/>
  <c r="L8" i="1"/>
  <c r="L16" i="1"/>
  <c r="U4" i="1"/>
  <c r="L4" i="1"/>
  <c r="H4" i="1"/>
  <c r="L6" i="1"/>
  <c r="L12" i="1"/>
  <c r="L14" i="1"/>
  <c r="L5" i="1"/>
  <c r="L10" i="1"/>
  <c r="R18" i="1"/>
  <c r="L11" i="1"/>
  <c r="N10" i="1"/>
  <c r="L7" i="1"/>
  <c r="L9" i="1"/>
  <c r="K10" i="1" l="1"/>
  <c r="M15" i="1"/>
  <c r="N13" i="1"/>
  <c r="K13" i="1"/>
  <c r="M13" i="1" s="1"/>
  <c r="N15" i="1"/>
  <c r="M10" i="1"/>
  <c r="T4" i="1"/>
  <c r="N4" i="1"/>
  <c r="K4" i="1"/>
  <c r="L18" i="1"/>
  <c r="I18" i="1" s="1"/>
  <c r="U18" i="1"/>
  <c r="N16" i="1"/>
  <c r="K16" i="1"/>
  <c r="M16" i="1" s="1"/>
  <c r="N5" i="1"/>
  <c r="K5" i="1"/>
  <c r="M5" i="1" s="1"/>
  <c r="N14" i="1"/>
  <c r="K14" i="1"/>
  <c r="M14" i="1" s="1"/>
  <c r="N11" i="1"/>
  <c r="K11" i="1"/>
  <c r="M11" i="1" s="1"/>
  <c r="S18" i="1"/>
  <c r="N6" i="1"/>
  <c r="K6" i="1"/>
  <c r="M6" i="1" s="1"/>
  <c r="N7" i="1"/>
  <c r="K7" i="1"/>
  <c r="M7" i="1" s="1"/>
  <c r="N12" i="1"/>
  <c r="K12" i="1"/>
  <c r="M12" i="1" s="1"/>
  <c r="N9" i="1"/>
  <c r="K9" i="1"/>
  <c r="M9" i="1" s="1"/>
  <c r="N8" i="1"/>
  <c r="K8" i="1"/>
  <c r="M8" i="1" s="1"/>
  <c r="M4" i="1" l="1"/>
  <c r="K18" i="1"/>
  <c r="H18" i="1" s="1"/>
  <c r="V4" i="1"/>
  <c r="Y4" i="1" s="1"/>
  <c r="Z4" i="1" s="1"/>
  <c r="AB4" i="1" s="1"/>
  <c r="T18" i="1"/>
  <c r="V18" i="1" s="1"/>
  <c r="AA4" i="1" l="1"/>
</calcChain>
</file>

<file path=xl/sharedStrings.xml><?xml version="1.0" encoding="utf-8"?>
<sst xmlns="http://schemas.openxmlformats.org/spreadsheetml/2006/main" count="54" uniqueCount="53">
  <si>
    <t>HIV+ RR</t>
  </si>
  <si>
    <t xml:space="preserve">Check estimates </t>
  </si>
  <si>
    <t xml:space="preserve">Age </t>
  </si>
  <si>
    <t>CCcasesHIV+</t>
  </si>
  <si>
    <t>CCcasesHIV-</t>
  </si>
  <si>
    <t>15–19</t>
  </si>
  <si>
    <t>20–24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</si>
  <si>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</si>
  <si>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</si>
  <si>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</si>
  <si>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</si>
  <si>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</si>
  <si>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</si>
  <si>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</si>
  <si>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</si>
  <si>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65-69</t>
  </si>
  <si>
    <t>70-74</t>
  </si>
  <si>
    <t>75-79</t>
  </si>
  <si>
    <t>Total</t>
  </si>
  <si>
    <t>NA</t>
  </si>
  <si>
    <t>CCtotal</t>
  </si>
  <si>
    <t>Weighted CCrateSA</t>
  </si>
  <si>
    <t>KZN CC rate (HIV 4x risk) - adjusted older ages</t>
  </si>
  <si>
    <t>Pop KZN</t>
  </si>
  <si>
    <t>Age Group</t>
  </si>
  <si>
    <t>Observed DHS 2016 HIV Prevalence in SA</t>
  </si>
  <si>
    <t>Observed Globocan 2018 CC incidence in SA</t>
  </si>
  <si>
    <t>CC rate HIV+</t>
  </si>
  <si>
    <t>CC rate HIV-</t>
  </si>
  <si>
    <t>25-34</t>
  </si>
  <si>
    <t>35-44</t>
  </si>
  <si>
    <t>45-54</t>
  </si>
  <si>
    <t>55-64</t>
  </si>
  <si>
    <t>65+</t>
  </si>
  <si>
    <t>Observed AHRI 2016 HIV prevalence in KZN</t>
  </si>
  <si>
    <t>HIV SA (all females)</t>
  </si>
  <si>
    <t>HIV KZN (all females)</t>
  </si>
  <si>
    <t>set equal to 45-49 age group</t>
  </si>
  <si>
    <t>Statistics SA 2016 Population in KZN</t>
  </si>
  <si>
    <t>Cases SA</t>
  </si>
  <si>
    <t>Pop SA</t>
  </si>
  <si>
    <t>CC rate SA</t>
  </si>
  <si>
    <t>HIV+ Pop</t>
  </si>
  <si>
    <t>HIV- Pop</t>
  </si>
  <si>
    <t>Calculated population in KZN by HIV status</t>
  </si>
  <si>
    <t>Estimated CC incidence rates in SA by HIV status</t>
  </si>
  <si>
    <t>Estimated CC cases by HIV status and CC incidence rate in KZN</t>
  </si>
  <si>
    <t>CC cases HIV+</t>
  </si>
  <si>
    <t>CC cases HIV-</t>
  </si>
  <si>
    <t>CC rate KZN</t>
  </si>
  <si>
    <t>Multiplier on Globocan 2018 data</t>
  </si>
  <si>
    <t>Adjusted multipliers</t>
  </si>
  <si>
    <t>Multipliers for broad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</si>
</sst>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b/>
      <sz val="11"/>
      <name val="Arial"/>
    </font>
    <font>
      <b/>
      <sz val="11"/>
      <color rgb="FFFF0000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A7D00"/>
      <name val="Calibri"/>
      <family val="2"/>
    </font>
    <font>
      <b/>
      <sz val="11"/>
      <color rgb="FFFF0000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3" borderId="0" xfId="0" applyFont="1" applyFill="1" applyAlignment="1"/>
    <xf numFmtId="0" fontId="5" fillId="0" borderId="0" xfId="0" applyFont="1"/>
    <xf numFmtId="0" fontId="7" fillId="3" borderId="0" xfId="0" applyFont="1" applyFill="1" applyAlignment="1"/>
    <xf numFmtId="0" fontId="7" fillId="0" borderId="0" xfId="0" applyFont="1" applyAlignment="1"/>
    <xf numFmtId="0" fontId="8" fillId="3" borderId="0" xfId="0" applyFont="1" applyFill="1" applyAlignment="1"/>
    <xf numFmtId="0" fontId="9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0" fillId="0" borderId="0" xfId="0" applyFont="1"/>
    <xf numFmtId="2" fontId="9" fillId="0" borderId="0" xfId="0" applyNumberFormat="1" applyFont="1"/>
    <xf numFmtId="0" fontId="10" fillId="0" borderId="0" xfId="0" applyFont="1" applyAlignment="1"/>
    <xf numFmtId="0" fontId="9" fillId="0" borderId="0" xfId="0" applyFont="1"/>
    <xf numFmtId="164" fontId="9" fillId="0" borderId="0" xfId="0" applyNumberFormat="1" applyFont="1"/>
    <xf numFmtId="1" fontId="9" fillId="0" borderId="0" xfId="0" applyNumberFormat="1" applyFont="1"/>
    <xf numFmtId="165" fontId="9" fillId="0" borderId="0" xfId="0" applyNumberFormat="1" applyFont="1"/>
    <xf numFmtId="1" fontId="5" fillId="0" borderId="0" xfId="0" applyNumberFormat="1" applyFont="1"/>
    <xf numFmtId="2" fontId="11" fillId="2" borderId="1" xfId="0" applyNumberFormat="1" applyFont="1" applyFill="1" applyBorder="1"/>
    <xf numFmtId="0" fontId="0" fillId="0" borderId="0" xfId="0" applyFont="1" applyAlignment="1"/>
    <xf numFmtId="0" fontId="0" fillId="0" borderId="0" xfId="0" applyFont="1" applyFill="1" applyBorder="1" applyAlignment="1"/>
    <xf numFmtId="0" fontId="4" fillId="0" borderId="0" xfId="0" applyFont="1" applyFill="1" applyBorder="1"/>
    <xf numFmtId="0" fontId="3" fillId="0" borderId="0" xfId="0" applyFont="1" applyFill="1" applyBorder="1"/>
    <xf numFmtId="0" fontId="12" fillId="0" borderId="0" xfId="0" applyFont="1"/>
    <xf numFmtId="0" fontId="13" fillId="0" borderId="0" xfId="0" applyFont="1" applyAlignment="1"/>
    <xf numFmtId="1" fontId="13" fillId="0" borderId="0" xfId="0" applyNumberFormat="1" applyFont="1"/>
    <xf numFmtId="0" fontId="13" fillId="0" borderId="0" xfId="0" applyFont="1"/>
    <xf numFmtId="2" fontId="13" fillId="0" borderId="0" xfId="0" applyNumberFormat="1" applyFont="1"/>
    <xf numFmtId="164" fontId="13" fillId="0" borderId="0" xfId="0" applyNumberFormat="1" applyFont="1"/>
    <xf numFmtId="2" fontId="15" fillId="2" borderId="1" xfId="0" applyNumberFormat="1" applyFont="1" applyFill="1" applyBorder="1"/>
    <xf numFmtId="0" fontId="13" fillId="0" borderId="2" xfId="0" applyFont="1" applyBorder="1" applyAlignment="1"/>
    <xf numFmtId="0" fontId="13" fillId="0" borderId="2" xfId="0" applyFont="1" applyBorder="1"/>
    <xf numFmtId="0" fontId="16" fillId="0" borderId="2" xfId="0" applyNumberFormat="1" applyFont="1" applyFill="1" applyBorder="1" applyAlignment="1" applyProtection="1">
      <alignment horizontal="left"/>
    </xf>
    <xf numFmtId="0" fontId="13" fillId="0" borderId="2" xfId="0" applyFont="1" applyBorder="1" applyAlignment="1">
      <alignment horizontal="right"/>
    </xf>
    <xf numFmtId="2" fontId="16" fillId="0" borderId="2" xfId="0" applyNumberFormat="1" applyFont="1" applyFill="1" applyBorder="1" applyAlignment="1" applyProtection="1">
      <alignment horizontal="left"/>
    </xf>
    <xf numFmtId="0" fontId="14" fillId="2" borderId="3" xfId="0" applyFont="1" applyFill="1" applyBorder="1"/>
    <xf numFmtId="2" fontId="13" fillId="0" borderId="2" xfId="0" applyNumberFormat="1" applyFont="1" applyBorder="1"/>
    <xf numFmtId="1" fontId="13" fillId="0" borderId="2" xfId="0" applyNumberFormat="1" applyFont="1" applyBorder="1"/>
    <xf numFmtId="165" fontId="13" fillId="0" borderId="2" xfId="0" applyNumberFormat="1" applyFont="1" applyBorder="1"/>
    <xf numFmtId="0" fontId="1" fillId="0" borderId="2" xfId="0" applyFont="1" applyBorder="1" applyAlignment="1"/>
    <xf numFmtId="164" fontId="13" fillId="0" borderId="2" xfId="0" applyNumberFormat="1" applyFont="1" applyBorder="1"/>
    <xf numFmtId="0" fontId="13" fillId="0" borderId="2" xfId="0" applyFont="1" applyBorder="1" applyAlignment="1">
      <alignment wrapText="1"/>
    </xf>
    <xf numFmtId="1" fontId="13" fillId="0" borderId="2" xfId="0" applyNumberFormat="1" applyFont="1" applyBorder="1" applyAlignment="1">
      <alignment wrapText="1"/>
    </xf>
    <xf numFmtId="0" fontId="13" fillId="4" borderId="2" xfId="0" applyFont="1" applyFill="1" applyBorder="1" applyAlignment="1">
      <alignment wrapText="1"/>
    </xf>
    <xf numFmtId="0" fontId="13" fillId="4" borderId="2" xfId="0" applyFont="1" applyFill="1" applyBorder="1"/>
    <xf numFmtId="164" fontId="5" fillId="4" borderId="2" xfId="0" applyNumberFormat="1" applyFont="1" applyFill="1" applyBorder="1"/>
    <xf numFmtId="0" fontId="13" fillId="0" borderId="0" xfId="0" applyFont="1" applyBorder="1" applyAlignment="1"/>
    <xf numFmtId="1" fontId="13" fillId="0" borderId="4" xfId="0" applyNumberFormat="1" applyFont="1" applyBorder="1"/>
    <xf numFmtId="0" fontId="0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/>
    <xf numFmtId="0" fontId="12" fillId="0" borderId="0" xfId="0" applyFont="1" applyBorder="1"/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wrapText="1"/>
    </xf>
    <xf numFmtId="0" fontId="12" fillId="0" borderId="6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right" vertical="center" wrapText="1"/>
    </xf>
    <xf numFmtId="0" fontId="13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Globocan 2018 for KZN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'CC rates'!$B$2:$D$2</c:f>
              <c:strCache>
                <c:ptCount val="1"/>
                <c:pt idx="0">
                  <c:v>Observed Globocan 2018 CC incidence in 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rates'!$D$4:$D$15</c:f>
              <c:numCache>
                <c:formatCode>0.00</c:formatCode>
                <c:ptCount val="12"/>
                <c:pt idx="0">
                  <c:v>3.9070527772503256</c:v>
                </c:pt>
                <c:pt idx="1">
                  <c:v>19.718592555074853</c:v>
                </c:pt>
                <c:pt idx="2">
                  <c:v>35.815396540774046</c:v>
                </c:pt>
                <c:pt idx="3">
                  <c:v>53.753954608683522</c:v>
                </c:pt>
                <c:pt idx="4">
                  <c:v>71.181262777416052</c:v>
                </c:pt>
                <c:pt idx="5">
                  <c:v>85.090519192952186</c:v>
                </c:pt>
                <c:pt idx="6">
                  <c:v>95.443618498222065</c:v>
                </c:pt>
                <c:pt idx="7">
                  <c:v>96.099524161750054</c:v>
                </c:pt>
                <c:pt idx="8">
                  <c:v>94.851577973825016</c:v>
                </c:pt>
                <c:pt idx="9">
                  <c:v>97.48752644071628</c:v>
                </c:pt>
                <c:pt idx="10">
                  <c:v>101.98823806664386</c:v>
                </c:pt>
                <c:pt idx="11">
                  <c:v>110.42515650113373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F-41EF-AEBF-0E758EBF43F7}"/>
            </c:ext>
          </c:extLst>
        </c:ser>
        <c:ser>
          <c:idx val="1"/>
          <c:order val="1"/>
          <c:tx>
            <c:strRef>
              <c:f>'CC rates'!$AB$3</c:f>
              <c:strCache>
                <c:ptCount val="1"/>
                <c:pt idx="0">
                  <c:v>KZN CC rate (HIV 4x risk) - adjusted older ages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'CC rates'!$A$4:$A$15</c:f>
              <c:strCache>
                <c:ptCount val="12"/>
                <c:pt idx="0">
                  <c:v>15–19</c:v>
                </c:pt>
                <c:pt idx="1">
                  <c:v>20–24</c:v>
                </c:pt>
                <c:pt idx="2">
                  <c:v>25–29</c:v>
                </c:pt>
                <c:pt idx="3">
                  <c:v>30–34</c:v>
                </c:pt>
                <c:pt idx="4">
                  <c:v>35–39</c:v>
                </c:pt>
                <c:pt idx="5">
                  <c:v>40–44</c:v>
                </c:pt>
                <c:pt idx="6">
                  <c:v>45–49</c:v>
                </c:pt>
                <c:pt idx="7">
                  <c:v>50–54</c:v>
                </c:pt>
                <c:pt idx="8">
                  <c:v>55–59</c:v>
                </c:pt>
                <c:pt idx="9">
                  <c:v>60–64</c:v>
                </c:pt>
                <c:pt idx="10">
                  <c:v>65-69</c:v>
                </c:pt>
                <c:pt idx="11">
                  <c:v>70-74</c:v>
                </c:pt>
              </c:strCache>
            </c:strRef>
          </c:cat>
          <c:val>
            <c:numRef>
              <c:f>'CC rates'!$AB$4:$AB$15</c:f>
              <c:numCache>
                <c:formatCode>0.0</c:formatCode>
                <c:ptCount val="12"/>
                <c:pt idx="0">
                  <c:v>4.2506211395658813</c:v>
                </c:pt>
                <c:pt idx="1">
                  <c:v>26.308096902593544</c:v>
                </c:pt>
                <c:pt idx="2">
                  <c:v>44.29228102011205</c:v>
                </c:pt>
                <c:pt idx="3">
                  <c:v>74.756761777182135</c:v>
                </c:pt>
                <c:pt idx="4">
                  <c:v>96.943788621935781</c:v>
                </c:pt>
                <c:pt idx="5">
                  <c:v>109.33496137495494</c:v>
                </c:pt>
                <c:pt idx="6">
                  <c:v>149.82317295754092</c:v>
                </c:pt>
                <c:pt idx="7">
                  <c:v>150.85278467194186</c:v>
                </c:pt>
                <c:pt idx="8">
                  <c:v>148.61463801411369</c:v>
                </c:pt>
                <c:pt idx="9">
                  <c:v>152.74467502139476</c:v>
                </c:pt>
                <c:pt idx="10">
                  <c:v>159.7964462557934</c:v>
                </c:pt>
                <c:pt idx="11">
                  <c:v>173.01551552043256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F-41EF-AEBF-0E758EBF4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309903"/>
        <c:axId val="1397346463"/>
      </c:lineChart>
      <c:catAx>
        <c:axId val="160830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46463"/>
        <c:crosses val="autoZero"/>
        <c:auto val="1"/>
        <c:lblAlgn val="ctr"/>
        <c:lblOffset val="100"/>
        <c:noMultiLvlLbl val="0"/>
      </c:catAx>
      <c:valAx>
        <c:axId val="13973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ICC per 100K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35889992587902"/>
          <c:y val="0.66715471988415243"/>
          <c:w val="0.24223787974805577"/>
          <c:h val="0.159484116209611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438150</xdr:colOff>
      <xdr:row>19</xdr:row>
      <xdr:rowOff>19050</xdr:rowOff>
    </xdr:from>
    <xdr:to>
      <xdr:col>28</xdr:col>
      <xdr:colOff>28575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9A2A8-65C9-4BEF-B357-1077DAC14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59"/>
  <sheetViews>
    <sheetView tabSelected="1" workbookViewId="0">
      <selection activeCell="P30" sqref="P30"/>
    </sheetView>
  </sheetViews>
  <sheetFormatPr defaultColWidth="12.625" defaultRowHeight="15" customHeight="1" x14ac:dyDescent="0.2"/>
  <cols>
    <col min="1" max="3" width="7.625" customWidth="1"/>
    <col min="4" max="4" width="9" bestFit="1" customWidth="1"/>
    <col min="5" max="5" width="17.125" bestFit="1" customWidth="1"/>
    <col min="6" max="6" width="7.625" customWidth="1"/>
    <col min="7" max="7" width="1.625" style="49" customWidth="1"/>
    <col min="8" max="8" width="10.375" bestFit="1" customWidth="1"/>
    <col min="9" max="9" width="10.125" bestFit="1" customWidth="1"/>
    <col min="10" max="10" width="2.375" customWidth="1"/>
    <col min="11" max="14" width="7.625" hidden="1" customWidth="1"/>
    <col min="15" max="15" width="10.125" customWidth="1"/>
    <col min="16" max="16" width="19.75" bestFit="1" customWidth="1"/>
    <col min="17" max="17" width="16.375" customWidth="1"/>
    <col min="18" max="18" width="10" customWidth="1"/>
    <col min="19" max="19" width="10.875" customWidth="1"/>
    <col min="20" max="20" width="10.625" bestFit="1" customWidth="1"/>
    <col min="21" max="21" width="9.75" customWidth="1"/>
    <col min="22" max="22" width="16.5" bestFit="1" customWidth="1"/>
    <col min="23" max="23" width="7.625" customWidth="1"/>
    <col min="24" max="24" width="7.625" style="20" customWidth="1"/>
    <col min="25" max="25" width="15.875" bestFit="1" customWidth="1"/>
    <col min="26" max="26" width="12.625" style="20" bestFit="1" customWidth="1"/>
    <col min="27" max="27" width="14.25" bestFit="1" customWidth="1"/>
    <col min="28" max="28" width="23.375" customWidth="1"/>
    <col min="29" max="30" width="7.625" customWidth="1"/>
    <col min="31" max="31" width="13.625" customWidth="1"/>
  </cols>
  <sheetData>
    <row r="1" spans="1:31" ht="15.75" customHeight="1" x14ac:dyDescent="0.25">
      <c r="A1" s="52"/>
      <c r="B1" s="47"/>
      <c r="C1" s="47"/>
      <c r="D1" s="47"/>
      <c r="E1" s="47"/>
      <c r="F1" s="25"/>
      <c r="G1" s="25"/>
      <c r="H1" s="36" t="s">
        <v>0</v>
      </c>
      <c r="I1" s="36">
        <v>4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6"/>
    </row>
    <row r="2" spans="1:31" ht="34.5" customHeight="1" x14ac:dyDescent="0.25">
      <c r="A2" s="31"/>
      <c r="B2" s="53" t="s">
        <v>26</v>
      </c>
      <c r="C2" s="53"/>
      <c r="D2" s="53"/>
      <c r="E2" s="54" t="s">
        <v>25</v>
      </c>
      <c r="F2" s="25"/>
      <c r="G2" s="25"/>
      <c r="H2" s="55" t="s">
        <v>45</v>
      </c>
      <c r="I2" s="56"/>
      <c r="J2" s="25"/>
      <c r="K2" s="24" t="s">
        <v>1</v>
      </c>
      <c r="L2" s="25"/>
      <c r="M2" s="25"/>
      <c r="N2" s="25"/>
      <c r="O2" s="25"/>
      <c r="P2" s="54" t="s">
        <v>34</v>
      </c>
      <c r="Q2" s="54" t="s">
        <v>38</v>
      </c>
      <c r="R2" s="55" t="s">
        <v>44</v>
      </c>
      <c r="S2" s="56"/>
      <c r="T2" s="53" t="s">
        <v>46</v>
      </c>
      <c r="U2" s="53"/>
      <c r="V2" s="53"/>
      <c r="W2" s="25"/>
      <c r="X2" s="47"/>
      <c r="Y2" s="25"/>
      <c r="Z2" s="25"/>
      <c r="AA2" s="26"/>
    </row>
    <row r="3" spans="1:31" ht="31.5" customHeight="1" x14ac:dyDescent="0.25">
      <c r="A3" s="32" t="s">
        <v>2</v>
      </c>
      <c r="B3" s="32" t="s">
        <v>39</v>
      </c>
      <c r="C3" s="32" t="s">
        <v>40</v>
      </c>
      <c r="D3" s="32" t="s">
        <v>41</v>
      </c>
      <c r="E3" s="32" t="s">
        <v>35</v>
      </c>
      <c r="F3" s="25"/>
      <c r="G3" s="25"/>
      <c r="H3" s="32" t="s">
        <v>27</v>
      </c>
      <c r="I3" s="32" t="s">
        <v>28</v>
      </c>
      <c r="J3" s="25"/>
      <c r="K3" s="27" t="s">
        <v>3</v>
      </c>
      <c r="L3" s="27" t="s">
        <v>4</v>
      </c>
      <c r="M3" s="27" t="s">
        <v>20</v>
      </c>
      <c r="N3" s="27" t="s">
        <v>21</v>
      </c>
      <c r="O3" s="27"/>
      <c r="P3" s="32" t="s">
        <v>36</v>
      </c>
      <c r="Q3" s="32" t="s">
        <v>23</v>
      </c>
      <c r="R3" s="32" t="s">
        <v>42</v>
      </c>
      <c r="S3" s="32" t="s">
        <v>43</v>
      </c>
      <c r="T3" s="42" t="s">
        <v>47</v>
      </c>
      <c r="U3" s="42" t="s">
        <v>48</v>
      </c>
      <c r="V3" s="32" t="s">
        <v>49</v>
      </c>
      <c r="W3" s="25"/>
      <c r="X3" s="42" t="s">
        <v>24</v>
      </c>
      <c r="Y3" s="58" t="s">
        <v>50</v>
      </c>
      <c r="Z3" s="42" t="s">
        <v>51</v>
      </c>
      <c r="AA3" s="43" t="s">
        <v>52</v>
      </c>
      <c r="AB3" s="44" t="s">
        <v>22</v>
      </c>
      <c r="AC3" s="5"/>
      <c r="AD3" s="5"/>
      <c r="AE3" s="5"/>
    </row>
    <row r="4" spans="1:31" ht="15.75" customHeight="1" x14ac:dyDescent="0.25">
      <c r="A4" s="32" t="s">
        <v>5</v>
      </c>
      <c r="B4" s="33">
        <v>100</v>
      </c>
      <c r="C4" s="34">
        <f>B4/(D4/100000)</f>
        <v>2559474</v>
      </c>
      <c r="D4" s="35">
        <v>3.9070527772503256</v>
      </c>
      <c r="E4" s="32">
        <v>5.8999999999999997E-2</v>
      </c>
      <c r="F4" s="25"/>
      <c r="G4" s="25"/>
      <c r="H4" s="37">
        <f t="shared" ref="H4:H16" si="0">I$1*I4</f>
        <v>13.278004340697793</v>
      </c>
      <c r="I4" s="37">
        <f>D4/(I$1*E4+(1-E4))</f>
        <v>3.3195010851744482</v>
      </c>
      <c r="J4" s="25"/>
      <c r="K4" s="26" t="e">
        <f>H4*#REF!/100000</f>
        <v>#REF!</v>
      </c>
      <c r="L4" s="26" t="e">
        <f>I4*#REF!/100000</f>
        <v>#REF!</v>
      </c>
      <c r="M4" s="26" t="e">
        <f t="shared" ref="M4:M16" si="1">SUM(K4+L4)</f>
        <v>#REF!</v>
      </c>
      <c r="N4" s="28" t="e">
        <f>(H4*(#REF!/C4))+(I4*(#REF!/C4))</f>
        <v>#REF!</v>
      </c>
      <c r="O4" s="28"/>
      <c r="P4" s="39">
        <f>0.0935</f>
        <v>9.35E-2</v>
      </c>
      <c r="Q4" s="40">
        <v>538265</v>
      </c>
      <c r="R4" s="38">
        <f t="shared" ref="R4:R16" si="2">P4*Q4</f>
        <v>50327.777499999997</v>
      </c>
      <c r="S4" s="38">
        <f t="shared" ref="S4:S16" si="3">Q4-R4</f>
        <v>487937.22250000003</v>
      </c>
      <c r="T4" s="41">
        <f t="shared" ref="T4:T16" si="4">H4*R4/100000</f>
        <v>6.6825244810267268</v>
      </c>
      <c r="U4" s="41">
        <f t="shared" ref="U4:U16" si="5">I4*S4/100000</f>
        <v>16.197081395857563</v>
      </c>
      <c r="V4" s="41">
        <f t="shared" ref="V4:V16" si="6">(T4+U4)/Q4*100000</f>
        <v>4.2506211395658813</v>
      </c>
      <c r="W4" s="25"/>
      <c r="X4" s="48">
        <v>4</v>
      </c>
      <c r="Y4" s="32">
        <f>V4/D4</f>
        <v>1.0879354290569245</v>
      </c>
      <c r="Z4" s="32">
        <f>Y4</f>
        <v>1.0879354290569245</v>
      </c>
      <c r="AA4" s="45">
        <f>AVERAGE(Y4:Y6)</f>
        <v>1.2195984455181634</v>
      </c>
      <c r="AB4" s="46">
        <f>D4*Z4</f>
        <v>4.2506211395658813</v>
      </c>
      <c r="AC4" s="15"/>
      <c r="AD4" s="15"/>
      <c r="AE4" s="15"/>
    </row>
    <row r="5" spans="1:31" ht="15.75" customHeight="1" x14ac:dyDescent="0.25">
      <c r="A5" s="32" t="s">
        <v>6</v>
      </c>
      <c r="B5" s="33">
        <v>503</v>
      </c>
      <c r="C5" s="34">
        <f t="shared" ref="C5:C15" si="7">B5/(D5/100000)</f>
        <v>2550891.9999999995</v>
      </c>
      <c r="D5" s="35">
        <v>19.718592555074853</v>
      </c>
      <c r="E5" s="32">
        <v>0.16700000000000001</v>
      </c>
      <c r="F5" s="25"/>
      <c r="G5" s="25"/>
      <c r="H5" s="37">
        <f t="shared" si="0"/>
        <v>52.547881559160174</v>
      </c>
      <c r="I5" s="37">
        <f>D5/(I$1*E5+(1-E5))</f>
        <v>13.136970389790044</v>
      </c>
      <c r="J5" s="25"/>
      <c r="K5" s="26" t="e">
        <f>H5*#REF!/100000</f>
        <v>#REF!</v>
      </c>
      <c r="L5" s="26" t="e">
        <f>I5*#REF!/100000</f>
        <v>#REF!</v>
      </c>
      <c r="M5" s="26" t="e">
        <f t="shared" si="1"/>
        <v>#REF!</v>
      </c>
      <c r="N5" s="28" t="e">
        <f>(H5*(#REF!/C5))+(I5*(#REF!/C5))</f>
        <v>#REF!</v>
      </c>
      <c r="O5" s="28"/>
      <c r="P5" s="39">
        <f>0.3342</f>
        <v>0.3342</v>
      </c>
      <c r="Q5" s="40">
        <v>543645</v>
      </c>
      <c r="R5" s="38">
        <f t="shared" si="2"/>
        <v>181686.15899999999</v>
      </c>
      <c r="S5" s="38">
        <f t="shared" si="3"/>
        <v>361958.84100000001</v>
      </c>
      <c r="T5" s="41">
        <f t="shared" si="4"/>
        <v>95.472227640707416</v>
      </c>
      <c r="U5" s="41">
        <f t="shared" si="5"/>
        <v>47.550425765397222</v>
      </c>
      <c r="V5" s="41">
        <f t="shared" si="6"/>
        <v>26.30809690259354</v>
      </c>
      <c r="W5" s="25"/>
      <c r="X5" s="38">
        <f>X4+1</f>
        <v>5</v>
      </c>
      <c r="Y5" s="32">
        <f>V5/D5</f>
        <v>1.3341772151898736</v>
      </c>
      <c r="Z5" s="32">
        <f t="shared" ref="Z5:Z13" si="8">Y5</f>
        <v>1.3341772151898736</v>
      </c>
      <c r="AA5" s="45"/>
      <c r="AB5" s="46">
        <f>D5*Z5</f>
        <v>26.308096902593544</v>
      </c>
      <c r="AC5" s="15"/>
      <c r="AD5" s="15"/>
      <c r="AE5" s="15"/>
    </row>
    <row r="6" spans="1:31" ht="15.75" customHeight="1" x14ac:dyDescent="0.25">
      <c r="A6" s="32" t="s">
        <v>7</v>
      </c>
      <c r="B6" s="33">
        <v>913</v>
      </c>
      <c r="C6" s="34">
        <f t="shared" si="7"/>
        <v>2549183</v>
      </c>
      <c r="D6" s="35">
        <v>35.815396540774046</v>
      </c>
      <c r="E6" s="32">
        <v>0.36</v>
      </c>
      <c r="F6" s="25" t="s">
        <v>29</v>
      </c>
      <c r="G6" s="25"/>
      <c r="H6" s="37">
        <f t="shared" si="0"/>
        <v>68.875762578411624</v>
      </c>
      <c r="I6" s="37">
        <f>D6/(I$1*E6+(1-E6))</f>
        <v>17.218940644602906</v>
      </c>
      <c r="J6" s="25"/>
      <c r="K6" s="26" t="e">
        <f>H6*#REF!/100000</f>
        <v>#REF!</v>
      </c>
      <c r="L6" s="26" t="e">
        <f>I6*#REF!/100000</f>
        <v>#REF!</v>
      </c>
      <c r="M6" s="26" t="e">
        <f t="shared" si="1"/>
        <v>#REF!</v>
      </c>
      <c r="N6" s="28" t="e">
        <f>(H6*(#REF!/C6))+(I6*(#REF!/C6))</f>
        <v>#REF!</v>
      </c>
      <c r="O6" s="28"/>
      <c r="P6" s="39">
        <f>0.5241</f>
        <v>0.52410000000000001</v>
      </c>
      <c r="Q6" s="40">
        <v>529822</v>
      </c>
      <c r="R6" s="38">
        <f t="shared" si="2"/>
        <v>277679.71020000003</v>
      </c>
      <c r="S6" s="38">
        <f t="shared" si="3"/>
        <v>252142.28979999997</v>
      </c>
      <c r="T6" s="41">
        <f t="shared" si="4"/>
        <v>191.25401792577344</v>
      </c>
      <c r="U6" s="41">
        <f t="shared" si="5"/>
        <v>43.416231220604637</v>
      </c>
      <c r="V6" s="41">
        <f t="shared" si="6"/>
        <v>44.29228102011205</v>
      </c>
      <c r="W6" s="25"/>
      <c r="X6" s="38">
        <f>X5+1</f>
        <v>6</v>
      </c>
      <c r="Y6" s="32">
        <f>V6/D6</f>
        <v>1.2366826923076921</v>
      </c>
      <c r="Z6" s="32">
        <f t="shared" si="8"/>
        <v>1.2366826923076921</v>
      </c>
      <c r="AA6" s="45"/>
      <c r="AB6" s="46">
        <f>D6*Z6</f>
        <v>44.29228102011205</v>
      </c>
      <c r="AC6" s="15"/>
      <c r="AD6" s="15"/>
      <c r="AE6" s="15"/>
    </row>
    <row r="7" spans="1:31" ht="15.75" customHeight="1" x14ac:dyDescent="0.25">
      <c r="A7" s="32" t="s">
        <v>8</v>
      </c>
      <c r="B7" s="33">
        <v>1310</v>
      </c>
      <c r="C7" s="34">
        <f t="shared" si="7"/>
        <v>2437030</v>
      </c>
      <c r="D7" s="35">
        <v>53.753954608683522</v>
      </c>
      <c r="E7" s="32">
        <v>0.36</v>
      </c>
      <c r="F7" s="25"/>
      <c r="G7" s="25"/>
      <c r="H7" s="37">
        <f t="shared" si="0"/>
        <v>103.37298963208369</v>
      </c>
      <c r="I7" s="37">
        <f>D7/(I$1*E7+(1-E7))</f>
        <v>25.843247408020922</v>
      </c>
      <c r="J7" s="25"/>
      <c r="K7" s="26" t="e">
        <f>H7*#REF!/100000</f>
        <v>#REF!</v>
      </c>
      <c r="L7" s="26" t="e">
        <f>I7*#REF!/100000</f>
        <v>#REF!</v>
      </c>
      <c r="M7" s="26" t="e">
        <f t="shared" si="1"/>
        <v>#REF!</v>
      </c>
      <c r="N7" s="28" t="e">
        <f>(H7*(#REF!/C7))+(I7*(#REF!/C7))</f>
        <v>#REF!</v>
      </c>
      <c r="O7" s="28"/>
      <c r="P7" s="39">
        <f>0.6309</f>
        <v>0.63090000000000002</v>
      </c>
      <c r="Q7" s="40">
        <v>446915</v>
      </c>
      <c r="R7" s="38">
        <f t="shared" si="2"/>
        <v>281958.67350000003</v>
      </c>
      <c r="S7" s="38">
        <f t="shared" si="3"/>
        <v>164956.32649999997</v>
      </c>
      <c r="T7" s="41">
        <f t="shared" si="4"/>
        <v>291.46911032391574</v>
      </c>
      <c r="U7" s="41">
        <f t="shared" si="5"/>
        <v>42.630071572577769</v>
      </c>
      <c r="V7" s="41">
        <f t="shared" si="6"/>
        <v>74.756761777182135</v>
      </c>
      <c r="W7" s="25"/>
      <c r="X7" s="38">
        <f t="shared" ref="X7:X16" si="9">X6+1</f>
        <v>7</v>
      </c>
      <c r="Y7" s="32">
        <f>V7/D7</f>
        <v>1.3907211538461539</v>
      </c>
      <c r="Z7" s="32">
        <f t="shared" si="8"/>
        <v>1.3907211538461539</v>
      </c>
      <c r="AA7" s="45">
        <f>AVERAGE(Y7:Y10)</f>
        <v>1.4018326814868265</v>
      </c>
      <c r="AB7" s="46">
        <f>D7*Z7</f>
        <v>74.756761777182135</v>
      </c>
      <c r="AC7" s="15"/>
      <c r="AD7" s="15"/>
      <c r="AE7" s="15"/>
    </row>
    <row r="8" spans="1:31" ht="15.75" customHeight="1" x14ac:dyDescent="0.25">
      <c r="A8" s="32" t="s">
        <v>9</v>
      </c>
      <c r="B8" s="33">
        <v>1501</v>
      </c>
      <c r="C8" s="34">
        <f t="shared" si="7"/>
        <v>2108701</v>
      </c>
      <c r="D8" s="35">
        <v>71.181262777416052</v>
      </c>
      <c r="E8" s="32">
        <v>0.40300000000000002</v>
      </c>
      <c r="F8" s="25" t="s">
        <v>30</v>
      </c>
      <c r="G8" s="25"/>
      <c r="H8" s="37">
        <f t="shared" si="0"/>
        <v>128.89318746476422</v>
      </c>
      <c r="I8" s="37">
        <f>D8/(I$1*E8+(1-E8))</f>
        <v>32.223296866191056</v>
      </c>
      <c r="J8" s="25"/>
      <c r="K8" s="26" t="e">
        <f>H8*#REF!/100000</f>
        <v>#REF!</v>
      </c>
      <c r="L8" s="26" t="e">
        <f>I8*#REF!/100000</f>
        <v>#REF!</v>
      </c>
      <c r="M8" s="26" t="e">
        <f t="shared" si="1"/>
        <v>#REF!</v>
      </c>
      <c r="N8" s="28" t="e">
        <f>(H8*(#REF!/C8))+(I8*(#REF!/C8))</f>
        <v>#REF!</v>
      </c>
      <c r="O8" s="28"/>
      <c r="P8" s="39">
        <f>0.6695</f>
        <v>0.66949999999999998</v>
      </c>
      <c r="Q8" s="40">
        <v>348503</v>
      </c>
      <c r="R8" s="38">
        <f t="shared" si="2"/>
        <v>233322.7585</v>
      </c>
      <c r="S8" s="38">
        <f t="shared" si="3"/>
        <v>115180.2415</v>
      </c>
      <c r="T8" s="41">
        <f t="shared" si="4"/>
        <v>300.73714051136409</v>
      </c>
      <c r="U8" s="41">
        <f t="shared" si="5"/>
        <v>37.114871149740793</v>
      </c>
      <c r="V8" s="41">
        <f t="shared" si="6"/>
        <v>96.943788621935781</v>
      </c>
      <c r="W8" s="25"/>
      <c r="X8" s="38">
        <f t="shared" si="9"/>
        <v>8</v>
      </c>
      <c r="Y8" s="32">
        <f>V8/D8</f>
        <v>1.3619284744228155</v>
      </c>
      <c r="Z8" s="32">
        <f t="shared" si="8"/>
        <v>1.3619284744228155</v>
      </c>
      <c r="AA8" s="45"/>
      <c r="AB8" s="46">
        <f>D8*Z8</f>
        <v>96.943788621935781</v>
      </c>
      <c r="AC8" s="15"/>
      <c r="AD8" s="15"/>
      <c r="AE8" s="15"/>
    </row>
    <row r="9" spans="1:31" ht="15.75" customHeight="1" x14ac:dyDescent="0.25">
      <c r="A9" s="32" t="s">
        <v>10</v>
      </c>
      <c r="B9" s="33">
        <v>1511</v>
      </c>
      <c r="C9" s="34">
        <f t="shared" si="7"/>
        <v>1775756</v>
      </c>
      <c r="D9" s="35">
        <v>85.090519192952186</v>
      </c>
      <c r="E9" s="32">
        <v>0.40300000000000002</v>
      </c>
      <c r="F9" s="25"/>
      <c r="G9" s="25"/>
      <c r="H9" s="37">
        <f t="shared" si="0"/>
        <v>154.07970881476177</v>
      </c>
      <c r="I9" s="37">
        <f>D9/(I$1*E9+(1-E9))</f>
        <v>38.519927203690443</v>
      </c>
      <c r="J9" s="25"/>
      <c r="K9" s="26" t="e">
        <f>H9*#REF!/100000</f>
        <v>#REF!</v>
      </c>
      <c r="L9" s="26" t="e">
        <f>I9*#REF!/100000</f>
        <v>#REF!</v>
      </c>
      <c r="M9" s="26" t="e">
        <f t="shared" si="1"/>
        <v>#REF!</v>
      </c>
      <c r="N9" s="28" t="e">
        <f>(H9*(#REF!/C9))+(I9*(#REF!/C9))</f>
        <v>#REF!</v>
      </c>
      <c r="O9" s="28"/>
      <c r="P9" s="39">
        <f>0.6128</f>
        <v>0.61280000000000001</v>
      </c>
      <c r="Q9" s="40">
        <v>282350</v>
      </c>
      <c r="R9" s="38">
        <f t="shared" si="2"/>
        <v>173024.08000000002</v>
      </c>
      <c r="S9" s="38">
        <f t="shared" si="3"/>
        <v>109325.91999999998</v>
      </c>
      <c r="T9" s="41">
        <f t="shared" si="4"/>
        <v>266.59499864342047</v>
      </c>
      <c r="U9" s="41">
        <f t="shared" si="5"/>
        <v>42.112264798764848</v>
      </c>
      <c r="V9" s="41">
        <f t="shared" si="6"/>
        <v>109.33496137495494</v>
      </c>
      <c r="W9" s="25"/>
      <c r="X9" s="38">
        <f t="shared" si="9"/>
        <v>9</v>
      </c>
      <c r="Y9" s="32">
        <f>V9/D9</f>
        <v>1.2849253055681302</v>
      </c>
      <c r="Z9" s="32">
        <f t="shared" si="8"/>
        <v>1.2849253055681302</v>
      </c>
      <c r="AA9" s="45"/>
      <c r="AB9" s="46">
        <f>D9*Z9</f>
        <v>109.33496137495494</v>
      </c>
      <c r="AC9" s="15"/>
      <c r="AD9" s="15"/>
      <c r="AE9" s="15"/>
    </row>
    <row r="10" spans="1:31" ht="15.75" customHeight="1" x14ac:dyDescent="0.25">
      <c r="A10" s="32" t="s">
        <v>11</v>
      </c>
      <c r="B10" s="33">
        <v>1498</v>
      </c>
      <c r="C10" s="34">
        <f t="shared" si="7"/>
        <v>1569513</v>
      </c>
      <c r="D10" s="35">
        <v>95.443618498222065</v>
      </c>
      <c r="E10" s="32">
        <v>0.19900000000000001</v>
      </c>
      <c r="F10" s="25" t="s">
        <v>31</v>
      </c>
      <c r="G10" s="25"/>
      <c r="H10" s="37">
        <f t="shared" si="0"/>
        <v>239.05727864301082</v>
      </c>
      <c r="I10" s="37">
        <f>D10/(I$1*E10+(1-E10))</f>
        <v>59.764319660752705</v>
      </c>
      <c r="J10" s="25"/>
      <c r="K10" s="26" t="e">
        <f>H10*#REF!/100000</f>
        <v>#REF!</v>
      </c>
      <c r="L10" s="26" t="e">
        <f>I10*#REF!/100000</f>
        <v>#REF!</v>
      </c>
      <c r="M10" s="26" t="e">
        <f t="shared" si="1"/>
        <v>#REF!</v>
      </c>
      <c r="N10" s="28" t="e">
        <f>(H10*(#REF!/C10))+(I10*(#REF!/C10))</f>
        <v>#REF!</v>
      </c>
      <c r="O10" s="28"/>
      <c r="P10" s="39">
        <f>0.5023</f>
        <v>0.50229999999999997</v>
      </c>
      <c r="Q10" s="40">
        <v>243989</v>
      </c>
      <c r="R10" s="38">
        <f t="shared" si="2"/>
        <v>122555.67469999999</v>
      </c>
      <c r="S10" s="38">
        <f t="shared" si="3"/>
        <v>121433.32530000001</v>
      </c>
      <c r="T10" s="41">
        <f t="shared" si="4"/>
        <v>292.97826076040087</v>
      </c>
      <c r="U10" s="41">
        <f t="shared" si="5"/>
        <v>72.573800706973685</v>
      </c>
      <c r="V10" s="41">
        <f t="shared" si="6"/>
        <v>149.82317295754092</v>
      </c>
      <c r="W10" s="25"/>
      <c r="X10" s="38">
        <f t="shared" si="9"/>
        <v>10</v>
      </c>
      <c r="Y10" s="32">
        <f>V10/D10</f>
        <v>1.5697557921102063</v>
      </c>
      <c r="Z10" s="32">
        <f t="shared" si="8"/>
        <v>1.5697557921102063</v>
      </c>
      <c r="AA10" s="45"/>
      <c r="AB10" s="46">
        <f>D10*Z10</f>
        <v>149.82317295754092</v>
      </c>
      <c r="AC10" s="15"/>
      <c r="AD10" s="15"/>
      <c r="AE10" s="15"/>
    </row>
    <row r="11" spans="1:31" ht="15.75" customHeight="1" x14ac:dyDescent="0.25">
      <c r="A11" s="32" t="s">
        <v>12</v>
      </c>
      <c r="B11" s="33">
        <v>1320</v>
      </c>
      <c r="C11" s="34">
        <f t="shared" si="7"/>
        <v>1373576.0000000002</v>
      </c>
      <c r="D11" s="35">
        <v>96.099524161750054</v>
      </c>
      <c r="E11" s="32">
        <v>0.19900000000000001</v>
      </c>
      <c r="F11" s="25"/>
      <c r="G11" s="25"/>
      <c r="H11" s="37">
        <f t="shared" si="0"/>
        <v>240.70012313525373</v>
      </c>
      <c r="I11" s="37">
        <f>D11/(I$1*E11+(1-E11))</f>
        <v>60.175030783813433</v>
      </c>
      <c r="J11" s="25"/>
      <c r="K11" s="26" t="e">
        <f>H11*#REF!/100000</f>
        <v>#REF!</v>
      </c>
      <c r="L11" s="26" t="e">
        <f>I11*#REF!/100000</f>
        <v>#REF!</v>
      </c>
      <c r="M11" s="26" t="e">
        <f t="shared" si="1"/>
        <v>#REF!</v>
      </c>
      <c r="N11" s="28" t="e">
        <f>(H11*(#REF!/C11))+(I11*(#REF!/C11))</f>
        <v>#REF!</v>
      </c>
      <c r="O11" s="57" t="s">
        <v>37</v>
      </c>
      <c r="P11" s="39">
        <f t="shared" ref="P11:P16" si="10">0.5023</f>
        <v>0.50229999999999997</v>
      </c>
      <c r="Q11" s="40">
        <v>216352</v>
      </c>
      <c r="R11" s="38">
        <f t="shared" si="2"/>
        <v>108673.6096</v>
      </c>
      <c r="S11" s="38">
        <f t="shared" si="3"/>
        <v>107678.3904</v>
      </c>
      <c r="T11" s="41">
        <f t="shared" si="4"/>
        <v>261.5775121227249</v>
      </c>
      <c r="U11" s="41">
        <f t="shared" si="5"/>
        <v>64.795504570714812</v>
      </c>
      <c r="V11" s="41">
        <f t="shared" si="6"/>
        <v>150.85278467194186</v>
      </c>
      <c r="W11" s="25"/>
      <c r="X11" s="38">
        <f t="shared" si="9"/>
        <v>11</v>
      </c>
      <c r="Y11" s="32">
        <f>V11/D11</f>
        <v>1.5697557921102063</v>
      </c>
      <c r="Z11" s="32">
        <f t="shared" si="8"/>
        <v>1.5697557921102063</v>
      </c>
      <c r="AA11" s="45">
        <f>AVERAGE(Y11:Y13)</f>
        <v>1.5677935973700687</v>
      </c>
      <c r="AB11" s="46">
        <f>D11*Z11</f>
        <v>150.85278467194186</v>
      </c>
      <c r="AC11" s="15"/>
      <c r="AD11" s="15"/>
      <c r="AE11" s="15"/>
    </row>
    <row r="12" spans="1:31" ht="15.75" customHeight="1" x14ac:dyDescent="0.25">
      <c r="A12" s="32" t="s">
        <v>13</v>
      </c>
      <c r="B12" s="33">
        <v>1123</v>
      </c>
      <c r="C12" s="34">
        <f t="shared" si="7"/>
        <v>1183955</v>
      </c>
      <c r="D12" s="35">
        <v>94.851577973825016</v>
      </c>
      <c r="E12" s="32">
        <v>0.2</v>
      </c>
      <c r="F12" s="25" t="s">
        <v>32</v>
      </c>
      <c r="G12" s="25"/>
      <c r="H12" s="37">
        <f t="shared" si="0"/>
        <v>237.12894493456253</v>
      </c>
      <c r="I12" s="37">
        <f>D12/(I$1*E12+(1-E12))</f>
        <v>59.282236233640631</v>
      </c>
      <c r="J12" s="25"/>
      <c r="K12" s="26" t="e">
        <f>H12*#REF!/100000</f>
        <v>#REF!</v>
      </c>
      <c r="L12" s="26" t="e">
        <f>I12*#REF!/100000</f>
        <v>#REF!</v>
      </c>
      <c r="M12" s="26" t="e">
        <f t="shared" si="1"/>
        <v>#REF!</v>
      </c>
      <c r="N12" s="28" t="e">
        <f>(H12*(#REF!/C12))+(I12*(#REF!/C12))</f>
        <v>#REF!</v>
      </c>
      <c r="O12" s="57"/>
      <c r="P12" s="39">
        <f t="shared" si="10"/>
        <v>0.50229999999999997</v>
      </c>
      <c r="Q12" s="40">
        <v>189489</v>
      </c>
      <c r="R12" s="38">
        <f t="shared" si="2"/>
        <v>95180.324699999997</v>
      </c>
      <c r="S12" s="38">
        <f t="shared" si="3"/>
        <v>94308.675300000003</v>
      </c>
      <c r="T12" s="41">
        <f t="shared" si="4"/>
        <v>225.70009974640084</v>
      </c>
      <c r="U12" s="41">
        <f t="shared" si="5"/>
        <v>55.908291680163096</v>
      </c>
      <c r="V12" s="41">
        <f t="shared" si="6"/>
        <v>148.61463801411369</v>
      </c>
      <c r="W12" s="25"/>
      <c r="X12" s="38">
        <f t="shared" si="9"/>
        <v>12</v>
      </c>
      <c r="Y12" s="32">
        <f>V12/D12</f>
        <v>1.5668124999999999</v>
      </c>
      <c r="Z12" s="32">
        <f t="shared" si="8"/>
        <v>1.5668124999999999</v>
      </c>
      <c r="AA12" s="45"/>
      <c r="AB12" s="46">
        <f>D12*Z12</f>
        <v>148.61463801411369</v>
      </c>
      <c r="AC12" s="15"/>
      <c r="AD12" s="15"/>
      <c r="AE12" s="15"/>
    </row>
    <row r="13" spans="1:31" ht="15.75" customHeight="1" x14ac:dyDescent="0.25">
      <c r="A13" s="32" t="s">
        <v>14</v>
      </c>
      <c r="B13" s="33">
        <v>966</v>
      </c>
      <c r="C13" s="34">
        <f t="shared" si="7"/>
        <v>990896</v>
      </c>
      <c r="D13" s="35">
        <v>97.48752644071628</v>
      </c>
      <c r="E13" s="32">
        <v>0.2</v>
      </c>
      <c r="F13" s="25"/>
      <c r="G13" s="25"/>
      <c r="H13" s="37">
        <f t="shared" si="0"/>
        <v>243.71881610179068</v>
      </c>
      <c r="I13" s="37">
        <f>D13/(I$1*E13+(1-E13))</f>
        <v>60.92970402544767</v>
      </c>
      <c r="J13" s="25"/>
      <c r="K13" s="26" t="e">
        <f>H13*#REF!/100000</f>
        <v>#REF!</v>
      </c>
      <c r="L13" s="26" t="e">
        <f>I13*#REF!/100000</f>
        <v>#REF!</v>
      </c>
      <c r="M13" s="26" t="e">
        <f t="shared" si="1"/>
        <v>#REF!</v>
      </c>
      <c r="N13" s="28" t="e">
        <f>(H13*(#REF!/C13))+(I13*(#REF!/C13))</f>
        <v>#REF!</v>
      </c>
      <c r="O13" s="57"/>
      <c r="P13" s="39">
        <f t="shared" si="10"/>
        <v>0.50229999999999997</v>
      </c>
      <c r="Q13" s="40">
        <v>163816</v>
      </c>
      <c r="R13" s="38">
        <f t="shared" si="2"/>
        <v>82284.776799999992</v>
      </c>
      <c r="S13" s="38">
        <f t="shared" si="3"/>
        <v>81531.223200000008</v>
      </c>
      <c r="T13" s="41">
        <f t="shared" si="4"/>
        <v>200.54348384896093</v>
      </c>
      <c r="U13" s="41">
        <f t="shared" si="5"/>
        <v>49.676732984087131</v>
      </c>
      <c r="V13" s="41">
        <f t="shared" si="6"/>
        <v>152.74467502139476</v>
      </c>
      <c r="W13" s="25"/>
      <c r="X13" s="38">
        <f t="shared" si="9"/>
        <v>13</v>
      </c>
      <c r="Y13" s="32">
        <f>V13/D13</f>
        <v>1.5668124999999997</v>
      </c>
      <c r="Z13" s="32">
        <f t="shared" si="8"/>
        <v>1.5668124999999997</v>
      </c>
      <c r="AA13" s="45"/>
      <c r="AB13" s="46">
        <f>D13*Z13</f>
        <v>152.74467502139476</v>
      </c>
      <c r="AC13" s="15"/>
      <c r="AD13" s="15"/>
      <c r="AE13" s="15"/>
    </row>
    <row r="14" spans="1:31" ht="15.75" customHeight="1" x14ac:dyDescent="0.25">
      <c r="A14" s="32" t="s">
        <v>15</v>
      </c>
      <c r="B14" s="33">
        <v>766</v>
      </c>
      <c r="C14" s="34">
        <f t="shared" si="7"/>
        <v>751066.99999999988</v>
      </c>
      <c r="D14" s="35">
        <v>101.98823806664386</v>
      </c>
      <c r="E14" s="32">
        <v>5.2999999999999999E-2</v>
      </c>
      <c r="F14" s="25" t="s">
        <v>33</v>
      </c>
      <c r="G14" s="25"/>
      <c r="H14" s="37">
        <f t="shared" si="0"/>
        <v>351.98701662344729</v>
      </c>
      <c r="I14" s="37">
        <f>D14/(I$1*E14+(1-E14))</f>
        <v>87.996754155861822</v>
      </c>
      <c r="J14" s="25"/>
      <c r="K14" s="26" t="e">
        <f>H14*#REF!/100000</f>
        <v>#REF!</v>
      </c>
      <c r="L14" s="26" t="e">
        <f>I14*#REF!/100000</f>
        <v>#REF!</v>
      </c>
      <c r="M14" s="26" t="e">
        <f t="shared" si="1"/>
        <v>#REF!</v>
      </c>
      <c r="N14" s="28" t="e">
        <f>(H14*(#REF!/C14))+(I14*(#REF!/C14))</f>
        <v>#REF!</v>
      </c>
      <c r="O14" s="57"/>
      <c r="P14" s="39">
        <f t="shared" si="10"/>
        <v>0.50229999999999997</v>
      </c>
      <c r="Q14" s="40">
        <v>134732</v>
      </c>
      <c r="R14" s="38">
        <f t="shared" si="2"/>
        <v>67675.883600000001</v>
      </c>
      <c r="S14" s="38">
        <f t="shared" si="3"/>
        <v>67056.116399999999</v>
      </c>
      <c r="T14" s="41">
        <f t="shared" si="4"/>
        <v>238.21032365719682</v>
      </c>
      <c r="U14" s="41">
        <f t="shared" si="5"/>
        <v>59.007205894976536</v>
      </c>
      <c r="V14" s="41">
        <f t="shared" si="6"/>
        <v>220.59906299332997</v>
      </c>
      <c r="W14" s="25"/>
      <c r="X14" s="38">
        <f t="shared" si="9"/>
        <v>14</v>
      </c>
      <c r="Y14" s="32">
        <f>V14/D14</f>
        <v>2.1629853321829158</v>
      </c>
      <c r="Z14" s="32">
        <f>Z13</f>
        <v>1.5668124999999997</v>
      </c>
      <c r="AA14" s="45"/>
      <c r="AB14" s="46">
        <f>D14*Z14</f>
        <v>159.7964462557934</v>
      </c>
      <c r="AC14" s="15"/>
      <c r="AD14" s="15"/>
      <c r="AE14" s="15"/>
    </row>
    <row r="15" spans="1:31" ht="15.75" customHeight="1" x14ac:dyDescent="0.25">
      <c r="A15" s="32" t="s">
        <v>16</v>
      </c>
      <c r="B15" s="33">
        <v>562</v>
      </c>
      <c r="C15" s="34">
        <f t="shared" si="7"/>
        <v>508942</v>
      </c>
      <c r="D15" s="35">
        <v>110.42515650113373</v>
      </c>
      <c r="E15" s="32">
        <v>5.2999999999999999E-2</v>
      </c>
      <c r="F15" s="25"/>
      <c r="G15" s="25"/>
      <c r="H15" s="37">
        <f t="shared" si="0"/>
        <v>381.10494046983166</v>
      </c>
      <c r="I15" s="37">
        <f>D15/(I$1*E15+(1-E15))</f>
        <v>95.276235117457915</v>
      </c>
      <c r="J15" s="25"/>
      <c r="K15" s="26" t="e">
        <f>H15*#REF!/100000</f>
        <v>#REF!</v>
      </c>
      <c r="L15" s="26" t="e">
        <f>I15*#REF!/100000</f>
        <v>#REF!</v>
      </c>
      <c r="M15" s="26" t="e">
        <f t="shared" si="1"/>
        <v>#REF!</v>
      </c>
      <c r="N15" s="28" t="e">
        <f>(H15*(#REF!/C15))+(I15*(#REF!/C15))</f>
        <v>#REF!</v>
      </c>
      <c r="O15" s="57"/>
      <c r="P15" s="39">
        <f t="shared" si="10"/>
        <v>0.50229999999999997</v>
      </c>
      <c r="Q15" s="40">
        <v>93602</v>
      </c>
      <c r="R15" s="38">
        <f t="shared" si="2"/>
        <v>47016.284599999999</v>
      </c>
      <c r="S15" s="38">
        <f t="shared" si="3"/>
        <v>46585.715400000001</v>
      </c>
      <c r="T15" s="41">
        <f t="shared" si="4"/>
        <v>179.1813834359566</v>
      </c>
      <c r="U15" s="41">
        <f t="shared" si="5"/>
        <v>44.385115735653798</v>
      </c>
      <c r="V15" s="41">
        <f t="shared" si="6"/>
        <v>238.84799381595525</v>
      </c>
      <c r="W15" s="25"/>
      <c r="X15" s="38">
        <f t="shared" si="9"/>
        <v>15</v>
      </c>
      <c r="Y15" s="32">
        <f>V15/D15</f>
        <v>2.1629853321829162</v>
      </c>
      <c r="Z15" s="32">
        <f t="shared" ref="Z15" si="11">Z14</f>
        <v>1.5668124999999997</v>
      </c>
      <c r="AA15" s="45"/>
      <c r="AB15" s="46">
        <f>D15*Z15</f>
        <v>173.01551552043256</v>
      </c>
      <c r="AC15" s="15"/>
      <c r="AD15" s="15"/>
      <c r="AE15" s="15"/>
    </row>
    <row r="16" spans="1:31" ht="15.75" customHeight="1" x14ac:dyDescent="0.25">
      <c r="A16" s="32" t="s">
        <v>17</v>
      </c>
      <c r="B16" s="33">
        <v>902</v>
      </c>
      <c r="C16" s="34" t="s">
        <v>19</v>
      </c>
      <c r="D16" s="35" t="s">
        <v>19</v>
      </c>
      <c r="E16" s="32">
        <v>5.2999999999999999E-2</v>
      </c>
      <c r="F16" s="25"/>
      <c r="G16" s="25"/>
      <c r="H16" s="37" t="e">
        <f t="shared" si="0"/>
        <v>#VALUE!</v>
      </c>
      <c r="I16" s="37" t="e">
        <f>D16/(I$1*E16+(1-E16))</f>
        <v>#VALUE!</v>
      </c>
      <c r="J16" s="25"/>
      <c r="K16" s="26" t="e">
        <f>H16*#REF!/100000</f>
        <v>#VALUE!</v>
      </c>
      <c r="L16" s="26" t="e">
        <f>I16*#REF!/100000</f>
        <v>#VALUE!</v>
      </c>
      <c r="M16" s="26" t="e">
        <f t="shared" si="1"/>
        <v>#VALUE!</v>
      </c>
      <c r="N16" s="28" t="e">
        <f>(H16*(#REF!/C16))+(I16*(#REF!/C16))</f>
        <v>#VALUE!</v>
      </c>
      <c r="O16" s="57"/>
      <c r="P16" s="39">
        <f t="shared" si="10"/>
        <v>0.50229999999999997</v>
      </c>
      <c r="Q16" s="40">
        <v>58431</v>
      </c>
      <c r="R16" s="38">
        <f t="shared" si="2"/>
        <v>29349.891299999999</v>
      </c>
      <c r="S16" s="38">
        <f t="shared" si="3"/>
        <v>29081.108700000001</v>
      </c>
      <c r="T16" s="41" t="e">
        <f t="shared" si="4"/>
        <v>#VALUE!</v>
      </c>
      <c r="U16" s="41" t="e">
        <f t="shared" si="5"/>
        <v>#VALUE!</v>
      </c>
      <c r="V16" s="41" t="e">
        <f t="shared" si="6"/>
        <v>#VALUE!</v>
      </c>
      <c r="W16" s="25"/>
      <c r="X16" s="38">
        <f t="shared" si="9"/>
        <v>16</v>
      </c>
      <c r="Y16" s="32" t="e">
        <f>V16/D16</f>
        <v>#VALUE!</v>
      </c>
      <c r="Z16" s="32"/>
      <c r="AA16" s="32"/>
      <c r="AB16" s="46"/>
      <c r="AC16" s="15"/>
      <c r="AD16" s="15"/>
      <c r="AE16" s="15"/>
    </row>
    <row r="17" spans="1:31" ht="15.75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6"/>
    </row>
    <row r="18" spans="1:31" ht="15.75" customHeight="1" x14ac:dyDescent="0.25">
      <c r="A18" s="27" t="s">
        <v>18</v>
      </c>
      <c r="B18" s="27">
        <f t="shared" ref="B18:C18" si="12">SUM(B4:B16)</f>
        <v>12975</v>
      </c>
      <c r="C18" s="27">
        <f t="shared" si="12"/>
        <v>20358985</v>
      </c>
      <c r="D18" s="28">
        <f>B18/C18*100000</f>
        <v>63.731075002019992</v>
      </c>
      <c r="E18" s="25"/>
      <c r="F18" s="25"/>
      <c r="G18" s="25"/>
      <c r="H18" s="29" t="e">
        <f>K18/#REF!*100000</f>
        <v>#REF!</v>
      </c>
      <c r="I18" s="29" t="e">
        <f>L18/#REF!*100000</f>
        <v>#REF!</v>
      </c>
      <c r="J18" s="25"/>
      <c r="K18" s="26" t="e">
        <f t="shared" ref="K18:L18" si="13">SUM(K4:K16)</f>
        <v>#REF!</v>
      </c>
      <c r="L18" s="26" t="e">
        <f t="shared" si="13"/>
        <v>#REF!</v>
      </c>
      <c r="M18" s="26"/>
      <c r="N18" s="25"/>
      <c r="O18" s="30"/>
      <c r="P18" s="25"/>
      <c r="Q18" s="27">
        <f t="shared" ref="Q18:U18" si="14">SUM(Q4:Q16)</f>
        <v>3789911</v>
      </c>
      <c r="R18" s="26">
        <f t="shared" si="14"/>
        <v>1750735.6040000003</v>
      </c>
      <c r="S18" s="26">
        <f t="shared" si="14"/>
        <v>2039175.3959999997</v>
      </c>
      <c r="T18" s="29" t="e">
        <f t="shared" si="14"/>
        <v>#VALUE!</v>
      </c>
      <c r="U18" s="29" t="e">
        <f t="shared" si="14"/>
        <v>#VALUE!</v>
      </c>
      <c r="V18" s="29" t="e">
        <f>(T18+U18)/Q18*100000</f>
        <v>#VALUE!</v>
      </c>
      <c r="W18" s="25"/>
      <c r="X18" s="25"/>
      <c r="Y18" s="27"/>
      <c r="Z18" s="27"/>
      <c r="AA18" s="26"/>
      <c r="AB18" s="18"/>
      <c r="AC18" s="15"/>
      <c r="AD18" s="15"/>
      <c r="AE18" s="15"/>
    </row>
    <row r="19" spans="1:31" ht="15.75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6"/>
    </row>
    <row r="20" spans="1:31" ht="15.75" customHeight="1" x14ac:dyDescent="0.25">
      <c r="F20" s="21"/>
      <c r="G20" s="21"/>
      <c r="H20" s="21"/>
      <c r="I20" s="21"/>
      <c r="J20" s="21"/>
      <c r="AA20" s="18"/>
    </row>
    <row r="21" spans="1:31" ht="15.75" customHeight="1" x14ac:dyDescent="0.25">
      <c r="A21" s="2"/>
      <c r="F21" s="21"/>
      <c r="G21" s="21"/>
      <c r="H21" s="22"/>
      <c r="I21" s="22"/>
      <c r="J21" s="21"/>
      <c r="AA21" s="18"/>
    </row>
    <row r="22" spans="1:31" ht="15.75" customHeight="1" x14ac:dyDescent="0.25">
      <c r="B22" s="2"/>
      <c r="F22" s="21"/>
      <c r="G22" s="21"/>
      <c r="H22" s="23"/>
      <c r="I22" s="21"/>
      <c r="J22" s="21"/>
      <c r="K22" s="2"/>
      <c r="P22" s="2"/>
      <c r="AA22" s="18"/>
    </row>
    <row r="23" spans="1:31" ht="15.75" customHeight="1" x14ac:dyDescent="0.25">
      <c r="A23" s="5"/>
      <c r="B23" s="5"/>
      <c r="C23" s="5"/>
      <c r="D23" s="5"/>
      <c r="E23" s="5"/>
      <c r="H23" s="5"/>
      <c r="I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Y23" s="5"/>
      <c r="Z23" s="5"/>
      <c r="AA23" s="18"/>
      <c r="AB23" s="5"/>
      <c r="AC23" s="5"/>
      <c r="AD23" s="5"/>
      <c r="AE23" s="5"/>
    </row>
    <row r="24" spans="1:31" ht="15.75" customHeight="1" x14ac:dyDescent="0.25">
      <c r="A24" s="5"/>
      <c r="B24" s="5"/>
      <c r="C24" s="9"/>
      <c r="D24" s="12"/>
      <c r="E24" s="14"/>
      <c r="H24" s="12"/>
      <c r="I24" s="12"/>
      <c r="K24" s="16"/>
      <c r="L24" s="16"/>
      <c r="M24" s="16"/>
      <c r="N24" s="12"/>
      <c r="O24" s="12"/>
      <c r="P24" s="17"/>
      <c r="Q24" s="5"/>
      <c r="R24" s="18"/>
      <c r="S24" s="18"/>
      <c r="T24" s="15"/>
      <c r="U24" s="15"/>
      <c r="V24" s="15"/>
      <c r="Y24" s="5"/>
      <c r="Z24" s="5"/>
      <c r="AA24" s="18"/>
      <c r="AB24" s="18"/>
      <c r="AC24" s="15"/>
      <c r="AD24" s="15"/>
      <c r="AE24" s="15"/>
    </row>
    <row r="25" spans="1:31" ht="15.75" customHeight="1" x14ac:dyDescent="0.25">
      <c r="A25" s="5"/>
      <c r="B25" s="5"/>
      <c r="C25" s="9"/>
      <c r="D25" s="12"/>
      <c r="E25" s="14"/>
      <c r="H25" s="12"/>
      <c r="I25" s="12"/>
      <c r="K25" s="16"/>
      <c r="L25" s="16"/>
      <c r="M25" s="16"/>
      <c r="N25" s="12"/>
      <c r="O25" s="12"/>
      <c r="P25" s="17"/>
      <c r="Q25" s="5"/>
      <c r="R25" s="18"/>
      <c r="S25" s="18"/>
      <c r="T25" s="15"/>
      <c r="U25" s="15"/>
      <c r="V25" s="15"/>
      <c r="Y25" s="5"/>
      <c r="Z25" s="5"/>
      <c r="AA25" s="18"/>
      <c r="AB25" s="18"/>
      <c r="AC25" s="15"/>
      <c r="AD25" s="15"/>
      <c r="AE25" s="15"/>
    </row>
    <row r="26" spans="1:31" ht="15.75" customHeight="1" x14ac:dyDescent="0.25">
      <c r="A26" s="5"/>
      <c r="B26" s="5"/>
      <c r="C26" s="9"/>
      <c r="D26" s="12"/>
      <c r="E26" s="14"/>
      <c r="H26" s="12"/>
      <c r="I26" s="12"/>
      <c r="K26" s="16"/>
      <c r="L26" s="16"/>
      <c r="M26" s="16"/>
      <c r="N26" s="12"/>
      <c r="O26" s="12"/>
      <c r="P26" s="17"/>
      <c r="Q26" s="5"/>
      <c r="R26" s="18"/>
      <c r="S26" s="18"/>
      <c r="T26" s="15"/>
      <c r="U26" s="15"/>
      <c r="V26" s="15"/>
      <c r="Y26" s="5"/>
      <c r="Z26" s="5"/>
      <c r="AA26" s="18"/>
      <c r="AB26" s="18"/>
      <c r="AC26" s="15"/>
      <c r="AD26" s="15"/>
      <c r="AE26" s="15"/>
    </row>
    <row r="27" spans="1:31" ht="15.75" customHeight="1" x14ac:dyDescent="0.25">
      <c r="A27" s="5"/>
      <c r="B27" s="5"/>
      <c r="C27" s="9"/>
      <c r="D27" s="12"/>
      <c r="E27" s="14"/>
      <c r="H27" s="12"/>
      <c r="I27" s="12"/>
      <c r="K27" s="16"/>
      <c r="L27" s="16"/>
      <c r="M27" s="16"/>
      <c r="N27" s="12"/>
      <c r="O27" s="12"/>
      <c r="P27" s="17"/>
      <c r="Q27" s="5"/>
      <c r="R27" s="18"/>
      <c r="S27" s="18"/>
      <c r="T27" s="15"/>
      <c r="U27" s="15"/>
      <c r="V27" s="15"/>
      <c r="Y27" s="5"/>
      <c r="Z27" s="5"/>
      <c r="AA27" s="18"/>
      <c r="AB27" s="18"/>
      <c r="AC27" s="15"/>
      <c r="AD27" s="15"/>
      <c r="AE27" s="15"/>
    </row>
    <row r="28" spans="1:31" ht="15.75" customHeight="1" x14ac:dyDescent="0.25">
      <c r="A28" s="5"/>
      <c r="B28" s="5"/>
      <c r="C28" s="9"/>
      <c r="D28" s="12"/>
      <c r="E28" s="14"/>
      <c r="H28" s="12"/>
      <c r="I28" s="12"/>
      <c r="K28" s="16"/>
      <c r="L28" s="16"/>
      <c r="M28" s="16"/>
      <c r="N28" s="12"/>
      <c r="O28" s="12"/>
      <c r="P28" s="17"/>
      <c r="Q28" s="5"/>
      <c r="R28" s="18"/>
      <c r="S28" s="18"/>
      <c r="T28" s="15"/>
      <c r="U28" s="15"/>
      <c r="V28" s="15"/>
      <c r="Y28" s="5"/>
      <c r="Z28" s="5"/>
      <c r="AA28" s="18"/>
      <c r="AB28" s="18"/>
      <c r="AC28" s="15"/>
      <c r="AD28" s="15"/>
      <c r="AE28" s="15"/>
    </row>
    <row r="29" spans="1:31" ht="15.75" customHeight="1" x14ac:dyDescent="0.25">
      <c r="A29" s="5"/>
      <c r="B29" s="5"/>
      <c r="C29" s="9"/>
      <c r="D29" s="12"/>
      <c r="E29" s="14"/>
      <c r="H29" s="12"/>
      <c r="I29" s="12"/>
      <c r="K29" s="16"/>
      <c r="L29" s="16"/>
      <c r="M29" s="16"/>
      <c r="N29" s="12"/>
      <c r="O29" s="12"/>
      <c r="P29" s="17"/>
      <c r="Q29" s="5"/>
      <c r="R29" s="18"/>
      <c r="S29" s="18"/>
      <c r="T29" s="15"/>
      <c r="U29" s="15"/>
      <c r="V29" s="15"/>
      <c r="Y29" s="5"/>
      <c r="Z29" s="5"/>
      <c r="AA29" s="18"/>
      <c r="AB29" s="18"/>
      <c r="AC29" s="15"/>
      <c r="AD29" s="15"/>
      <c r="AE29" s="15"/>
    </row>
    <row r="30" spans="1:31" ht="15.75" customHeight="1" x14ac:dyDescent="0.25">
      <c r="A30" s="5"/>
      <c r="B30" s="5"/>
      <c r="C30" s="9"/>
      <c r="D30" s="12"/>
      <c r="E30" s="14"/>
      <c r="H30" s="12"/>
      <c r="I30" s="12"/>
      <c r="K30" s="16"/>
      <c r="L30" s="16"/>
      <c r="M30" s="16"/>
      <c r="N30" s="12"/>
      <c r="O30" s="12"/>
      <c r="P30" s="17"/>
      <c r="Q30" s="5"/>
      <c r="R30" s="18"/>
      <c r="S30" s="18"/>
      <c r="T30" s="15"/>
      <c r="U30" s="15"/>
      <c r="V30" s="15"/>
      <c r="Y30" s="5"/>
      <c r="Z30" s="5"/>
      <c r="AA30" s="18"/>
      <c r="AB30" s="18"/>
      <c r="AC30" s="15"/>
      <c r="AD30" s="15"/>
      <c r="AE30" s="15"/>
    </row>
    <row r="31" spans="1:31" ht="15.75" customHeight="1" x14ac:dyDescent="0.25">
      <c r="A31" s="5"/>
      <c r="B31" s="5"/>
      <c r="C31" s="9"/>
      <c r="D31" s="12"/>
      <c r="E31" s="14"/>
      <c r="H31" s="12"/>
      <c r="I31" s="12"/>
      <c r="K31" s="16"/>
      <c r="L31" s="16"/>
      <c r="M31" s="16"/>
      <c r="N31" s="12"/>
      <c r="O31" s="12"/>
      <c r="P31" s="17"/>
      <c r="Q31" s="5"/>
      <c r="R31" s="18"/>
      <c r="S31" s="18"/>
      <c r="T31" s="15"/>
      <c r="U31" s="15"/>
      <c r="V31" s="15"/>
      <c r="Y31" s="5"/>
      <c r="Z31" s="5"/>
      <c r="AA31" s="18"/>
      <c r="AB31" s="18"/>
      <c r="AC31" s="15"/>
      <c r="AD31" s="15"/>
      <c r="AE31" s="15"/>
    </row>
    <row r="32" spans="1:31" ht="15.75" customHeight="1" x14ac:dyDescent="0.25">
      <c r="A32" s="5"/>
      <c r="B32" s="5"/>
      <c r="C32" s="9"/>
      <c r="D32" s="12"/>
      <c r="E32" s="14"/>
      <c r="H32" s="12"/>
      <c r="I32" s="12"/>
      <c r="K32" s="16"/>
      <c r="L32" s="16"/>
      <c r="M32" s="16"/>
      <c r="N32" s="12"/>
      <c r="O32" s="12"/>
      <c r="P32" s="17"/>
      <c r="Q32" s="5"/>
      <c r="R32" s="18"/>
      <c r="S32" s="18"/>
      <c r="T32" s="15"/>
      <c r="U32" s="15"/>
      <c r="V32" s="15"/>
      <c r="Y32" s="5"/>
      <c r="Z32" s="5"/>
      <c r="AA32" s="18"/>
      <c r="AB32" s="18"/>
      <c r="AC32" s="15"/>
      <c r="AD32" s="15"/>
      <c r="AE32" s="15"/>
    </row>
    <row r="33" spans="1:31" ht="15.75" customHeight="1" x14ac:dyDescent="0.25">
      <c r="A33" s="5"/>
      <c r="B33" s="5"/>
      <c r="C33" s="9"/>
      <c r="D33" s="12"/>
      <c r="E33" s="14"/>
      <c r="H33" s="12"/>
      <c r="I33" s="12"/>
      <c r="K33" s="16"/>
      <c r="L33" s="16"/>
      <c r="M33" s="16"/>
      <c r="N33" s="12"/>
      <c r="O33" s="12"/>
      <c r="P33" s="17"/>
      <c r="Q33" s="5"/>
      <c r="R33" s="18"/>
      <c r="S33" s="18"/>
      <c r="T33" s="15"/>
      <c r="U33" s="15"/>
      <c r="V33" s="15"/>
      <c r="Y33" s="5"/>
      <c r="Z33" s="5"/>
      <c r="AA33" s="18"/>
      <c r="AB33" s="18"/>
      <c r="AC33" s="15"/>
      <c r="AD33" s="15"/>
      <c r="AE33" s="15"/>
    </row>
    <row r="34" spans="1:31" ht="15.75" customHeight="1" x14ac:dyDescent="0.25">
      <c r="A34" s="5"/>
      <c r="B34" s="5"/>
      <c r="C34" s="9"/>
      <c r="D34" s="12"/>
      <c r="E34" s="14"/>
      <c r="H34" s="12"/>
      <c r="I34" s="12"/>
      <c r="K34" s="16"/>
      <c r="L34" s="16"/>
      <c r="M34" s="16"/>
      <c r="N34" s="12"/>
      <c r="O34" s="12"/>
      <c r="P34" s="17"/>
      <c r="Q34" s="5"/>
      <c r="R34" s="18"/>
      <c r="S34" s="18"/>
      <c r="T34" s="15"/>
      <c r="U34" s="15"/>
      <c r="V34" s="15"/>
      <c r="Y34" s="5"/>
      <c r="Z34" s="5"/>
      <c r="AA34" s="18"/>
      <c r="AB34" s="18"/>
      <c r="AC34" s="15"/>
      <c r="AD34" s="15"/>
      <c r="AE34" s="15"/>
    </row>
    <row r="35" spans="1:31" ht="15.75" customHeight="1" x14ac:dyDescent="0.25">
      <c r="A35" s="5"/>
      <c r="B35" s="5"/>
      <c r="C35" s="9"/>
      <c r="D35" s="12"/>
      <c r="E35" s="14"/>
      <c r="H35" s="12"/>
      <c r="I35" s="12"/>
      <c r="K35" s="16"/>
      <c r="L35" s="16"/>
      <c r="M35" s="16"/>
      <c r="N35" s="12"/>
      <c r="O35" s="12"/>
      <c r="P35" s="17"/>
      <c r="Q35" s="5"/>
      <c r="R35" s="18"/>
      <c r="S35" s="18"/>
      <c r="T35" s="15"/>
      <c r="U35" s="15"/>
      <c r="V35" s="15"/>
      <c r="Y35" s="5"/>
      <c r="Z35" s="5"/>
      <c r="AA35" s="18"/>
      <c r="AB35" s="18"/>
      <c r="AC35" s="15"/>
      <c r="AD35" s="15"/>
      <c r="AE35" s="15"/>
    </row>
    <row r="36" spans="1:31" ht="15.75" customHeight="1" x14ac:dyDescent="0.25">
      <c r="A36" s="5"/>
      <c r="B36" s="5"/>
      <c r="C36" s="9"/>
      <c r="D36" s="12"/>
      <c r="E36" s="14"/>
      <c r="H36" s="12"/>
      <c r="I36" s="12"/>
      <c r="K36" s="16"/>
      <c r="L36" s="16"/>
      <c r="M36" s="16"/>
      <c r="N36" s="12"/>
      <c r="O36" s="12"/>
      <c r="P36" s="17"/>
      <c r="Q36" s="5"/>
      <c r="R36" s="18"/>
      <c r="S36" s="18"/>
      <c r="T36" s="15"/>
      <c r="U36" s="15"/>
      <c r="V36" s="15"/>
      <c r="Y36" s="5"/>
      <c r="Z36" s="5"/>
      <c r="AA36" s="18"/>
      <c r="AB36" s="18"/>
      <c r="AC36" s="15"/>
      <c r="AD36" s="15"/>
      <c r="AE36" s="15"/>
    </row>
    <row r="37" spans="1:31" ht="15.75" customHeight="1" x14ac:dyDescent="0.25">
      <c r="R37" s="18"/>
      <c r="AA37" s="18"/>
    </row>
    <row r="38" spans="1:31" ht="15.75" customHeight="1" x14ac:dyDescent="0.25">
      <c r="A38" s="5"/>
      <c r="B38" s="5"/>
      <c r="C38" s="5"/>
      <c r="D38" s="12"/>
      <c r="H38" s="15"/>
      <c r="I38" s="15"/>
      <c r="K38" s="16"/>
      <c r="L38" s="16"/>
      <c r="M38" s="16"/>
      <c r="O38" s="19"/>
      <c r="Q38" s="5"/>
      <c r="R38" s="18"/>
      <c r="S38" s="18"/>
      <c r="T38" s="15"/>
      <c r="U38" s="15"/>
      <c r="V38" s="15"/>
      <c r="Y38" s="5"/>
      <c r="Z38" s="5"/>
      <c r="AA38" s="18"/>
      <c r="AB38" s="18"/>
      <c r="AC38" s="15"/>
      <c r="AD38" s="15"/>
      <c r="AE38" s="15"/>
    </row>
    <row r="39" spans="1:31" ht="15.75" customHeight="1" x14ac:dyDescent="0.2"/>
    <row r="40" spans="1:31" ht="15.75" customHeight="1" x14ac:dyDescent="0.2"/>
    <row r="41" spans="1:31" ht="15.75" customHeight="1" x14ac:dyDescent="0.2"/>
    <row r="42" spans="1:31" ht="15.75" customHeight="1" x14ac:dyDescent="0.2"/>
    <row r="43" spans="1:31" ht="15.75" customHeight="1" x14ac:dyDescent="0.2"/>
    <row r="44" spans="1:31" ht="15.75" customHeight="1" x14ac:dyDescent="0.2"/>
    <row r="45" spans="1:31" ht="15.75" customHeight="1" x14ac:dyDescent="0.2"/>
    <row r="46" spans="1:31" ht="15.75" customHeight="1" x14ac:dyDescent="0.2"/>
    <row r="47" spans="1:31" ht="15.75" customHeight="1" x14ac:dyDescent="0.2"/>
    <row r="48" spans="1:3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mergeCells count="5">
    <mergeCell ref="B2:D2"/>
    <mergeCell ref="T2:V2"/>
    <mergeCell ref="H2:I2"/>
    <mergeCell ref="O11:O16"/>
    <mergeCell ref="R2:S2"/>
  </mergeCells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"/>
  <sheetViews>
    <sheetView workbookViewId="0">
      <selection activeCell="A25" sqref="A25"/>
    </sheetView>
  </sheetViews>
  <sheetFormatPr defaultColWidth="12.625" defaultRowHeight="15" customHeight="1" x14ac:dyDescent="0.2"/>
  <cols>
    <col min="1" max="1" width="44.5" customWidth="1"/>
  </cols>
  <sheetData>
    <row r="1" spans="1:7" x14ac:dyDescent="0.25">
      <c r="A1" s="1"/>
      <c r="B1" s="1"/>
    </row>
    <row r="2" spans="1:7" x14ac:dyDescent="0.25">
      <c r="A2" s="3"/>
      <c r="B2" s="4"/>
    </row>
    <row r="3" spans="1:7" x14ac:dyDescent="0.25">
      <c r="A3" s="3"/>
      <c r="B3" s="4"/>
    </row>
    <row r="4" spans="1:7" x14ac:dyDescent="0.25">
      <c r="A4" s="3"/>
      <c r="B4" s="4"/>
    </row>
    <row r="5" spans="1:7" x14ac:dyDescent="0.25">
      <c r="A5" s="3"/>
      <c r="B5" s="4"/>
    </row>
    <row r="6" spans="1:7" x14ac:dyDescent="0.25">
      <c r="A6" s="3"/>
      <c r="B6" s="6"/>
    </row>
    <row r="7" spans="1:7" x14ac:dyDescent="0.25">
      <c r="A7" s="3"/>
      <c r="B7" s="3"/>
    </row>
    <row r="8" spans="1:7" x14ac:dyDescent="0.25">
      <c r="A8" s="3"/>
      <c r="B8" s="7"/>
      <c r="C8" s="8"/>
    </row>
    <row r="10" spans="1:7" x14ac:dyDescent="0.25">
      <c r="A10" s="1"/>
    </row>
    <row r="11" spans="1:7" x14ac:dyDescent="0.25">
      <c r="A11" s="50"/>
      <c r="B11" s="51"/>
      <c r="C11" s="51"/>
      <c r="D11" s="10"/>
      <c r="E11" s="10"/>
      <c r="F11" s="10"/>
      <c r="G11" s="10"/>
    </row>
    <row r="12" spans="1:7" ht="15" customHeight="1" x14ac:dyDescent="0.2">
      <c r="A12" s="11"/>
    </row>
    <row r="19" spans="1:7" ht="15" customHeight="1" x14ac:dyDescent="0.25">
      <c r="A19" s="13"/>
    </row>
    <row r="20" spans="1:7" x14ac:dyDescent="0.25">
      <c r="A20" s="50"/>
      <c r="B20" s="51"/>
      <c r="C20" s="51"/>
      <c r="D20" s="51"/>
      <c r="E20" s="51"/>
      <c r="F20" s="51"/>
      <c r="G20" s="51"/>
    </row>
    <row r="21" spans="1:7" x14ac:dyDescent="0.25">
      <c r="A21" s="50"/>
      <c r="B21" s="51"/>
      <c r="C21" s="51"/>
      <c r="D21" s="51"/>
      <c r="E21" s="51"/>
      <c r="F21" s="51"/>
      <c r="G21" s="51"/>
    </row>
    <row r="23" spans="1:7" ht="15" customHeight="1" x14ac:dyDescent="0.25">
      <c r="A23" s="13"/>
    </row>
    <row r="24" spans="1:7" x14ac:dyDescent="0.25">
      <c r="A24" s="50"/>
      <c r="B24" s="51"/>
      <c r="C24" s="51"/>
      <c r="D24" s="51"/>
      <c r="E24" s="51"/>
      <c r="F24" s="51"/>
      <c r="G24" s="51"/>
    </row>
  </sheetData>
  <mergeCells count="4">
    <mergeCell ref="A11:C11"/>
    <mergeCell ref="A20:G20"/>
    <mergeCell ref="A21:G21"/>
    <mergeCell ref="A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 rates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 Liu</dc:creator>
  <cp:lastModifiedBy>Cara Bayer</cp:lastModifiedBy>
  <dcterms:created xsi:type="dcterms:W3CDTF">2019-11-25T23:04:44Z</dcterms:created>
  <dcterms:modified xsi:type="dcterms:W3CDTF">2020-09-22T18:45:01Z</dcterms:modified>
</cp:coreProperties>
</file>