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19200" windowHeight="7050"/>
  </bookViews>
  <sheets>
    <sheet name="Demographics" sheetId="1" r:id="rId1"/>
    <sheet name="Targ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R9" i="1"/>
  <c r="R10" i="1"/>
  <c r="R11" i="1"/>
  <c r="R12" i="1"/>
  <c r="R13" i="1"/>
  <c r="R14" i="1"/>
  <c r="R15" i="1"/>
  <c r="R16" i="1"/>
  <c r="R17" i="1"/>
  <c r="R18" i="1"/>
  <c r="R19" i="1"/>
  <c r="R7" i="1"/>
  <c r="W9" i="1" l="1"/>
  <c r="W10" i="1"/>
  <c r="W11" i="1"/>
  <c r="W12" i="1"/>
  <c r="W13" i="1"/>
  <c r="AS18" i="1"/>
  <c r="AS17" i="1"/>
  <c r="AS16" i="1"/>
  <c r="AS15" i="1"/>
  <c r="AS14" i="1"/>
  <c r="AS13" i="1"/>
  <c r="AS12" i="1"/>
  <c r="W7" i="1" l="1"/>
  <c r="S7" i="1"/>
  <c r="T7" i="1" s="1"/>
  <c r="U7" i="1" s="1"/>
  <c r="V7" i="1" s="1"/>
  <c r="W8" i="1"/>
  <c r="S8" i="1"/>
  <c r="T8" i="1" s="1"/>
  <c r="U8" i="1" s="1"/>
  <c r="V8" i="1" s="1"/>
  <c r="S10" i="1"/>
  <c r="T10" i="1" s="1"/>
  <c r="U10" i="1" s="1"/>
  <c r="V10" i="1" s="1"/>
  <c r="S13" i="1"/>
  <c r="T13" i="1" s="1"/>
  <c r="U13" i="1" s="1"/>
  <c r="V13" i="1" s="1"/>
  <c r="S11" i="1"/>
  <c r="T11" i="1" s="1"/>
  <c r="U11" i="1" s="1"/>
  <c r="V11" i="1" s="1"/>
  <c r="S9" i="1"/>
  <c r="T9" i="1" s="1"/>
  <c r="U9" i="1" s="1"/>
  <c r="V9" i="1" s="1"/>
  <c r="S12" i="1"/>
  <c r="T12" i="1" s="1"/>
  <c r="U12" i="1" s="1"/>
  <c r="V12" i="1" s="1"/>
  <c r="H13" i="1"/>
  <c r="H14" i="1"/>
  <c r="H15" i="1"/>
  <c r="H16" i="1"/>
  <c r="H17" i="1"/>
  <c r="H18" i="1"/>
  <c r="H12" i="1"/>
  <c r="K9" i="1"/>
  <c r="K11" i="1"/>
  <c r="L11" i="1" s="1"/>
  <c r="AJ13" i="1" l="1"/>
  <c r="AK13" i="1"/>
  <c r="AL13" i="1"/>
  <c r="AJ14" i="1"/>
  <c r="AK14" i="1"/>
  <c r="AL14" i="1"/>
  <c r="AI16" i="1"/>
  <c r="AK16" i="1" s="1"/>
  <c r="AI17" i="1"/>
  <c r="AK17" i="1" s="1"/>
  <c r="AI18" i="1"/>
  <c r="AK18" i="1" s="1"/>
  <c r="AI19" i="1"/>
  <c r="AK19" i="1" s="1"/>
  <c r="AI20" i="1"/>
  <c r="AK20" i="1" s="1"/>
  <c r="AI21" i="1"/>
  <c r="AK21" i="1" s="1"/>
  <c r="AI22" i="1"/>
  <c r="AK22" i="1" s="1"/>
  <c r="AI23" i="1"/>
  <c r="AK23" i="1" s="1"/>
  <c r="AI24" i="1"/>
  <c r="AK24" i="1" s="1"/>
  <c r="AJ24" i="1"/>
  <c r="AI25" i="1"/>
  <c r="AK25" i="1" s="1"/>
  <c r="AJ34" i="1"/>
  <c r="AK34" i="1"/>
  <c r="AL34" i="1"/>
  <c r="AJ35" i="1"/>
  <c r="AK35" i="1"/>
  <c r="AL35" i="1"/>
  <c r="AI37" i="1"/>
  <c r="AJ37" i="1" s="1"/>
  <c r="AI38" i="1"/>
  <c r="AJ38" i="1" s="1"/>
  <c r="AI39" i="1"/>
  <c r="AK39" i="1" s="1"/>
  <c r="AI40" i="1"/>
  <c r="AJ40" i="1"/>
  <c r="AK40" i="1"/>
  <c r="AI41" i="1"/>
  <c r="AJ41" i="1" s="1"/>
  <c r="AI42" i="1"/>
  <c r="AJ42" i="1" s="1"/>
  <c r="AI43" i="1"/>
  <c r="AK43" i="1" s="1"/>
  <c r="AI44" i="1"/>
  <c r="AJ44" i="1" s="1"/>
  <c r="AI45" i="1"/>
  <c r="AJ45" i="1" s="1"/>
  <c r="AI46" i="1"/>
  <c r="AJ46" i="1" s="1"/>
  <c r="AI47" i="1"/>
  <c r="AK47" i="1" s="1"/>
  <c r="AI2" i="1"/>
  <c r="AJ2" i="1" s="1"/>
  <c r="AK2" i="1" s="1"/>
  <c r="AI3" i="1"/>
  <c r="AJ3" i="1"/>
  <c r="AK3" i="1"/>
  <c r="AJ23" i="1" l="1"/>
  <c r="AJ22" i="1"/>
  <c r="AJ19" i="1"/>
  <c r="AJ20" i="1"/>
  <c r="AJ47" i="1"/>
  <c r="AJ21" i="1"/>
  <c r="AK37" i="1"/>
  <c r="AJ18" i="1"/>
  <c r="AJ17" i="1"/>
  <c r="AK45" i="1"/>
  <c r="AJ16" i="1"/>
  <c r="AJ25" i="1"/>
  <c r="AK44" i="1"/>
  <c r="AJ43" i="1"/>
  <c r="AJ39" i="1"/>
  <c r="AK41" i="1"/>
  <c r="AK46" i="1"/>
  <c r="AK42" i="1"/>
  <c r="AK38" i="1"/>
  <c r="AL25" i="1"/>
  <c r="AL24" i="1"/>
  <c r="AL23" i="1"/>
  <c r="AL22" i="1"/>
  <c r="AL21" i="1"/>
  <c r="AL20" i="1"/>
  <c r="AL19" i="1"/>
  <c r="AL18" i="1"/>
  <c r="AL17" i="1"/>
  <c r="AL16" i="1"/>
  <c r="B36" i="1" a="1"/>
  <c r="B46" i="1" s="1"/>
  <c r="B14" i="1"/>
  <c r="B15" i="1"/>
  <c r="B16" i="1"/>
  <c r="B17" i="1"/>
  <c r="C51" i="1"/>
  <c r="C50" i="1"/>
  <c r="C49" i="1"/>
  <c r="C48" i="1"/>
  <c r="C14" i="1"/>
  <c r="C15" i="1"/>
  <c r="C16" i="1"/>
  <c r="C17" i="1"/>
  <c r="C18" i="1"/>
  <c r="B18" i="1"/>
  <c r="D18" i="1" s="1"/>
  <c r="C31" i="1"/>
  <c r="B31" i="1"/>
  <c r="I5" i="1"/>
  <c r="Z4" i="1"/>
  <c r="AA4" i="1"/>
  <c r="AB4" i="1"/>
  <c r="AC4" i="1"/>
  <c r="AD4" i="1"/>
  <c r="AE4" i="1"/>
  <c r="AA3" i="1"/>
  <c r="AB3" i="1"/>
  <c r="AC3" i="1"/>
  <c r="AD3" i="1"/>
  <c r="AE3" i="1"/>
  <c r="Z3" i="1"/>
  <c r="L4" i="1"/>
  <c r="L5" i="1"/>
  <c r="L3" i="1"/>
  <c r="O69" i="1"/>
  <c r="Q24" i="1"/>
  <c r="R24" i="1"/>
  <c r="S24" i="1"/>
  <c r="T24" i="1"/>
  <c r="P24" i="1"/>
  <c r="M7" i="2"/>
  <c r="M6" i="2"/>
  <c r="M5" i="2"/>
  <c r="M10" i="2" s="1"/>
  <c r="Q4" i="2"/>
  <c r="P4" i="2"/>
  <c r="O4" i="2"/>
  <c r="N4" i="2"/>
  <c r="E10" i="2"/>
  <c r="F10" i="2"/>
  <c r="H10" i="2"/>
  <c r="I10" i="2"/>
  <c r="C10" i="2"/>
  <c r="B10" i="2"/>
  <c r="J6" i="2"/>
  <c r="J7" i="2"/>
  <c r="J5" i="2"/>
  <c r="J10" i="2"/>
  <c r="B17" i="2" s="1"/>
  <c r="I8" i="2"/>
  <c r="H8" i="2"/>
  <c r="J8" i="2" s="1"/>
  <c r="G6" i="2"/>
  <c r="G7" i="2"/>
  <c r="G5" i="2"/>
  <c r="G10" i="2"/>
  <c r="F8" i="2"/>
  <c r="E8" i="2"/>
  <c r="D6" i="2"/>
  <c r="D7" i="2"/>
  <c r="D5" i="2"/>
  <c r="C8" i="2"/>
  <c r="B8" i="2"/>
  <c r="D8" i="2" s="1"/>
  <c r="D10" i="2"/>
  <c r="G8" i="2"/>
  <c r="B44" i="1" l="1"/>
  <c r="B45" i="1"/>
  <c r="B16" i="2"/>
  <c r="B39" i="1"/>
  <c r="B40" i="1"/>
  <c r="B42" i="1"/>
  <c r="B38" i="1"/>
  <c r="B37" i="1"/>
  <c r="B36" i="1"/>
  <c r="B51" i="1"/>
  <c r="B50" i="1"/>
  <c r="B49" i="1"/>
  <c r="B41" i="1"/>
  <c r="B48" i="1"/>
  <c r="B47" i="1"/>
  <c r="B43" i="1"/>
</calcChain>
</file>

<file path=xl/sharedStrings.xml><?xml version="1.0" encoding="utf-8"?>
<sst xmlns="http://schemas.openxmlformats.org/spreadsheetml/2006/main" count="294" uniqueCount="128">
  <si>
    <t>Male</t>
  </si>
  <si>
    <t>Female</t>
  </si>
  <si>
    <r>
      <t>Initial Population Size (1985)</t>
    </r>
    <r>
      <rPr>
        <sz val="12"/>
        <color theme="1"/>
        <rFont val="Times New Roman"/>
        <family val="1"/>
      </rPr>
      <t xml:space="preserve"> [2, 3]</t>
    </r>
  </si>
  <si>
    <t>Risk Distribution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</si>
  <si>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</si>
  <si>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</si>
  <si>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</si>
  <si>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t>Fertility</t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</si>
  <si>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</si>
  <si>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</si>
  <si>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</si>
  <si>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</si>
  <si>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>Force of Infection Mixing</t>
  </si>
  <si>
    <t xml:space="preserve"> (age)</t>
  </si>
  <si>
    <t xml:space="preserve"> (sexual risk)</t>
  </si>
  <si>
    <t>0 – 4</t>
  </si>
  <si>
    <r>
      <t>HIV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RR=1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[13]</t>
    </r>
  </si>
  <si>
    <r>
      <t xml:space="preserve">Acute </t>
    </r>
    <r>
      <rPr>
        <sz val="12"/>
        <color theme="1"/>
        <rFont val="Times New Roman"/>
        <family val="1"/>
      </rPr>
      <t>RR=1 [13, 23]</t>
    </r>
  </si>
  <si>
    <t>&gt;350</t>
  </si>
  <si>
    <t>200-350</t>
  </si>
  <si>
    <r>
      <t xml:space="preserve">&lt;200 </t>
    </r>
    <r>
      <rPr>
        <sz val="12"/>
        <color theme="1"/>
        <rFont val="Times New Roman"/>
        <family val="1"/>
      </rPr>
      <t>RR=0.59[13, 23]</t>
    </r>
  </si>
  <si>
    <t>Before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</si>
  <si>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</si>
  <si>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</si>
  <si>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</si>
  <si>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</si>
  <si>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[22]</t>
  </si>
  <si>
    <t>After</t>
  </si>
  <si>
    <t>15 – 19</t>
  </si>
  <si>
    <t>Calibrated to fit data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</si>
  <si>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</si>
  <si>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</si>
  <si>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</si>
  <si>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</si>
  <si>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</si>
  <si>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</si>
  <si>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</si>
  <si>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</si>
  <si>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</si>
  <si>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US Census, Stats South Africa</t>
  </si>
  <si>
    <t>Values based on previous study, calibrated to fit age-specific HIV incidence and prevalence data</t>
  </si>
  <si>
    <t>1990, prior to generalized HIV epidemic</t>
  </si>
  <si>
    <t>Anderson et al , Ross et al</t>
  </si>
  <si>
    <r>
      <t>CD4 &gt; 500</t>
    </r>
    <r>
      <rPr>
        <sz val="12"/>
        <color theme="1"/>
        <rFont val="Times New Roman"/>
        <family val="1"/>
      </rPr>
      <t xml:space="preserve"> [13, 23] </t>
    </r>
    <r>
      <rPr>
        <i/>
        <sz val="12"/>
        <color theme="1"/>
        <rFont val="Times New Roman"/>
        <family val="1"/>
      </rPr>
      <t>extended</t>
    </r>
  </si>
  <si>
    <t>Total</t>
  </si>
  <si>
    <t>0-14</t>
  </si>
  <si>
    <t>15-64</t>
  </si>
  <si>
    <t>65+</t>
  </si>
  <si>
    <t>Kwa-Zulu Natal Population</t>
  </si>
  <si>
    <t>http://www.statssa.gov.za/census/census_2011/census_products/KZN_Municipal_Report.pdf</t>
  </si>
  <si>
    <t>Page 120</t>
  </si>
  <si>
    <t>Model Total (0 - 64)</t>
  </si>
  <si>
    <t>Per quarter growth rate</t>
  </si>
  <si>
    <t>Per year growth rate</t>
  </si>
  <si>
    <t>Year</t>
  </si>
  <si>
    <t>Total Population</t>
  </si>
  <si>
    <t>Male(0-14)</t>
  </si>
  <si>
    <t>Female(0-14)</t>
  </si>
  <si>
    <t>Male(15-64)</t>
  </si>
  <si>
    <t>Female(15-64)</t>
  </si>
  <si>
    <t>HIV Prevalence</t>
  </si>
  <si>
    <t>Prevalence</t>
  </si>
  <si>
    <t>KZN</t>
  </si>
  <si>
    <t>SA</t>
  </si>
  <si>
    <t>Motsoaledi</t>
  </si>
  <si>
    <t>SA DoH</t>
  </si>
  <si>
    <t>Barnabas et al.</t>
  </si>
  <si>
    <t>Percent anal among practitioners</t>
  </si>
  <si>
    <t>Gender</t>
  </si>
  <si>
    <t>Population Size</t>
  </si>
  <si>
    <t>Estimated</t>
  </si>
  <si>
    <t>TFR</t>
  </si>
  <si>
    <t>5 - 9</t>
  </si>
  <si>
    <t>10 - 14</t>
  </si>
  <si>
    <t>0 - 4</t>
  </si>
  <si>
    <t>50-54</t>
  </si>
  <si>
    <t>55-59</t>
  </si>
  <si>
    <t>50-59 from subsaharan africa data</t>
  </si>
  <si>
    <t>https://www.ncbi.nlm.nih.gov/pmc/articles/PMC4291094/table/T1/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</si>
  <si>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</si>
  <si>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</si>
  <si>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</si>
  <si>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</si>
  <si>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</si>
  <si>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</si>
  <si>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SD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</si>
  <si>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</si>
  <si>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</si>
  <si>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</si>
  <si>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</si>
  <si>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</si>
  <si>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</si>
  <si>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</si>
  <si>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</si>
  <si>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</si>
  <si>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</si>
  <si>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</si>
  <si>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</si>
  <si>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</si>
  <si>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</si>
  <si>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</si>
  <si>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</si>
  <si>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</si>
  <si>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</si>
  <si>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</si>
  <si>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</si>
  <si>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</si>
  <si>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</si>
  <si>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 xml:space="preserve">Age </t>
  </si>
  <si>
    <t>Country or Area</t>
  </si>
  <si>
    <t>Subgroup</t>
  </si>
  <si>
    <t>Source</t>
  </si>
  <si>
    <t>Unit</t>
  </si>
  <si>
    <t>Value</t>
  </si>
  <si>
    <t>Value Footnotes</t>
  </si>
  <si>
    <t>South Africa</t>
  </si>
  <si>
    <t>Female 15-19 yr</t>
  </si>
  <si>
    <t>2000-2005</t>
  </si>
  <si>
    <t>UNPD_World Population Prospects_2006 (International estimate)</t>
  </si>
  <si>
    <t>Births per 1,000 women</t>
  </si>
  <si>
    <t>Female 20-24 yr</t>
  </si>
  <si>
    <t>Female 25-29 yr</t>
  </si>
  <si>
    <t>Female 30-34 yr</t>
  </si>
  <si>
    <t>Female 35-39 yr</t>
  </si>
  <si>
    <t>Female 40-44 yr</t>
  </si>
  <si>
    <t>Female 45-49 yr</t>
  </si>
  <si>
    <t>http://data.un.org/Data.aspx?d=GenderStat&amp;f=inID%3A13</t>
  </si>
  <si>
    <t>Old fertility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</si>
</sst>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2" fillId="0" borderId="3" xfId="0" applyFont="1" applyBorder="1" applyAlignment="1">
      <alignment vertical="center" wrapText="1"/>
    </xf>
    <xf numFmtId="0" fontId="8" fillId="0" borderId="0" xfId="0" applyFont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/>
    <xf numFmtId="0" fontId="9" fillId="3" borderId="3" xfId="0" applyFont="1" applyFill="1" applyBorder="1" applyAlignment="1">
      <alignment vertical="center" wrapText="1"/>
    </xf>
    <xf numFmtId="49" fontId="2" fillId="0" borderId="3" xfId="0" applyNumberFormat="1" applyFont="1" applyBorder="1" applyAlignment="1"/>
    <xf numFmtId="0" fontId="2" fillId="0" borderId="3" xfId="0" applyNumberFormat="1" applyFont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0" fillId="0" borderId="3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2" fillId="2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/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0" borderId="3" xfId="0" applyFont="1" applyFill="1" applyBorder="1" applyAlignment="1"/>
    <xf numFmtId="0" fontId="9" fillId="0" borderId="3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11" fillId="0" borderId="0" xfId="0" applyNumberFormat="1" applyFont="1" applyFill="1" applyBorder="1" applyAlignment="1" applyProtection="1"/>
    <xf numFmtId="0" fontId="12" fillId="2" borderId="15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Border="1" applyAlignment="1" applyProtection="1"/>
    <xf numFmtId="49" fontId="11" fillId="0" borderId="0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4" fillId="2" borderId="0" xfId="0" applyNumberFormat="1" applyFont="1" applyFill="1" applyBorder="1" applyAlignment="1" applyProtection="1"/>
    <xf numFmtId="0" fontId="14" fillId="3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49" fontId="13" fillId="0" borderId="0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3" fillId="0" borderId="0" xfId="0" applyNumberFormat="1" applyFont="1" applyFill="1" applyBorder="1" applyAlignment="1" applyProtection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Demographics!$O$34</c:f>
              <c:strCache>
                <c:ptCount val="1"/>
                <c:pt idx="0">
                  <c:v>0 - 4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</c:numCache>
            </c:numRef>
          </c:xVal>
          <c:yVal>
            <c:numRef>
              <c:f>Demographics!$P$34:$AE$34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E-42EA-8965-2927A6E075D3}"/>
            </c:ext>
          </c:extLst>
        </c:ser>
        <c:ser>
          <c:idx val="1"/>
          <c:order val="1"/>
          <c:tx>
            <c:strRef>
              <c:f>Demographics!$O$35</c:f>
              <c:strCache>
                <c:ptCount val="1"/>
                <c:pt idx="0">
                  <c:v>5 - 9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</c:numCache>
            </c:numRef>
          </c:xVal>
          <c:yVal>
            <c:numRef>
              <c:f>Demographics!$P$35:$AE$35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2E-42EA-8965-2927A6E075D3}"/>
            </c:ext>
          </c:extLst>
        </c:ser>
        <c:ser>
          <c:idx val="2"/>
          <c:order val="2"/>
          <c:tx>
            <c:strRef>
              <c:f>Demographics!$O$36</c:f>
              <c:strCache>
                <c:ptCount val="1"/>
                <c:pt idx="0">
                  <c:v>10 - 14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</c:numCache>
            </c:numRef>
          </c:xVal>
          <c:yVal>
            <c:numRef>
              <c:f>Demographics!$P$36:$AE$36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2E-42EA-8965-2927A6E075D3}"/>
            </c:ext>
          </c:extLst>
        </c:ser>
        <c:ser>
          <c:idx val="3"/>
          <c:order val="3"/>
          <c:tx>
            <c:strRef>
              <c:f>Demographics!$O$37</c:f>
              <c:strCache>
                <c:ptCount val="1"/>
                <c:pt idx="0">
                  <c:v>15 – 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</c:numCache>
            </c:numRef>
          </c:xVal>
          <c:yVal>
            <c:numRef>
              <c:f>Demographics!$P$37:$AE$37</c:f>
              <c:numCache>
                <c:formatCode>General</c:formatCode>
                <c:ptCount val="8"/>
                <c:pt idx="0">
                  <c:v>8.3000000000000004E-2</c:v>
                </c:pt>
                <c:pt idx="1">
                  <c:v>8.7999999999999995E-2</c:v>
                </c:pt>
                <c:pt idx="2">
                  <c:v>0.10100000000000001</c:v>
                </c:pt>
                <c:pt idx="3">
                  <c:v>9.0999999999999998E-2</c:v>
                </c:pt>
                <c:pt idx="4">
                  <c:v>9.0999999999999998E-2</c:v>
                </c:pt>
                <c:pt idx="5">
                  <c:v>0.10199999999999999</c:v>
                </c:pt>
                <c:pt idx="6">
                  <c:v>8.5000000000000006E-2</c:v>
                </c:pt>
                <c:pt idx="7">
                  <c:v>9.1999999999999998E-2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2E-42EA-8965-2927A6E075D3}"/>
            </c:ext>
          </c:extLst>
        </c:ser>
        <c:ser>
          <c:idx val="4"/>
          <c:order val="4"/>
          <c:tx>
            <c:strRef>
              <c:f>Demographics!$O$38</c:f>
              <c:strCache>
                <c:ptCount val="1"/>
                <c:pt idx="0">
                  <c:v>20 –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390408017179668E-3"/>
                  <c:y val="-7.6844565985146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</c:numCache>
            </c:numRef>
          </c:xVal>
          <c:yVal>
            <c:numRef>
              <c:f>Demographics!$P$38:$AE$38</c:f>
              <c:numCache>
                <c:formatCode>General</c:formatCode>
                <c:ptCount val="8"/>
                <c:pt idx="0">
                  <c:v>0.191</c:v>
                </c:pt>
                <c:pt idx="1">
                  <c:v>0.19</c:v>
                </c:pt>
                <c:pt idx="2">
                  <c:v>0.186</c:v>
                </c:pt>
                <c:pt idx="3">
                  <c:v>0.17599999999999999</c:v>
                </c:pt>
                <c:pt idx="4">
                  <c:v>0.158</c:v>
                </c:pt>
                <c:pt idx="5">
                  <c:v>0.14299999999999999</c:v>
                </c:pt>
                <c:pt idx="6">
                  <c:v>0.14699999999999999</c:v>
                </c:pt>
                <c:pt idx="7">
                  <c:v>0.16600000000000001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2E-42EA-8965-2927A6E075D3}"/>
            </c:ext>
          </c:extLst>
        </c:ser>
        <c:ser>
          <c:idx val="5"/>
          <c:order val="5"/>
          <c:tx>
            <c:strRef>
              <c:f>Demographics!$O$39</c:f>
              <c:strCache>
                <c:ptCount val="1"/>
                <c:pt idx="0">
                  <c:v>25 – 29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064595561918395E-2"/>
                  <c:y val="1.53984009557996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</c:numCache>
            </c:numRef>
          </c:xVal>
          <c:yVal>
            <c:numRef>
              <c:f>Demographics!$P$39:$AE$39</c:f>
              <c:numCache>
                <c:formatCode>General</c:formatCode>
                <c:ptCount val="8"/>
                <c:pt idx="0">
                  <c:v>0.19700000000000001</c:v>
                </c:pt>
                <c:pt idx="1">
                  <c:v>0.20499999999999999</c:v>
                </c:pt>
                <c:pt idx="2">
                  <c:v>0.20100000000000001</c:v>
                </c:pt>
                <c:pt idx="3">
                  <c:v>0.185</c:v>
                </c:pt>
                <c:pt idx="4">
                  <c:v>0.184</c:v>
                </c:pt>
                <c:pt idx="5">
                  <c:v>0.17899999999999999</c:v>
                </c:pt>
                <c:pt idx="6">
                  <c:v>0.161</c:v>
                </c:pt>
                <c:pt idx="7">
                  <c:v>0.17199999999999999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2E-42EA-8965-2927A6E075D3}"/>
            </c:ext>
          </c:extLst>
        </c:ser>
        <c:ser>
          <c:idx val="6"/>
          <c:order val="6"/>
          <c:tx>
            <c:strRef>
              <c:f>Demographics!$O$40</c:f>
              <c:strCache>
                <c:ptCount val="1"/>
                <c:pt idx="0">
                  <c:v>30 – 34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</c:numCache>
            </c:numRef>
          </c:xVal>
          <c:yVal>
            <c:numRef>
              <c:f>Demographics!$P$40:$AE$40</c:f>
              <c:numCache>
                <c:formatCode>General</c:formatCode>
                <c:ptCount val="8"/>
                <c:pt idx="0">
                  <c:v>0.219</c:v>
                </c:pt>
                <c:pt idx="1">
                  <c:v>0.192</c:v>
                </c:pt>
                <c:pt idx="2">
                  <c:v>0.17499999999999999</c:v>
                </c:pt>
                <c:pt idx="3">
                  <c:v>0.18099999999999999</c:v>
                </c:pt>
                <c:pt idx="4">
                  <c:v>0.17199999999999999</c:v>
                </c:pt>
                <c:pt idx="5">
                  <c:v>0.16400000000000001</c:v>
                </c:pt>
                <c:pt idx="6">
                  <c:v>0.161</c:v>
                </c:pt>
                <c:pt idx="7">
                  <c:v>0.159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2E-42EA-8965-2927A6E075D3}"/>
            </c:ext>
          </c:extLst>
        </c:ser>
        <c:ser>
          <c:idx val="7"/>
          <c:order val="7"/>
          <c:tx>
            <c:strRef>
              <c:f>Demographics!$O$41</c:f>
              <c:strCache>
                <c:ptCount val="1"/>
                <c:pt idx="0">
                  <c:v>35 – 39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</c:numCache>
            </c:numRef>
          </c:xVal>
          <c:yVal>
            <c:numRef>
              <c:f>Demographics!$P$41:$AE$41</c:f>
              <c:numCache>
                <c:formatCode>General</c:formatCode>
                <c:ptCount val="8"/>
                <c:pt idx="0">
                  <c:v>0.13400000000000001</c:v>
                </c:pt>
                <c:pt idx="1">
                  <c:v>0.13200000000000001</c:v>
                </c:pt>
                <c:pt idx="2">
                  <c:v>0.13700000000000001</c:v>
                </c:pt>
                <c:pt idx="3">
                  <c:v>0.127</c:v>
                </c:pt>
                <c:pt idx="4">
                  <c:v>0.114</c:v>
                </c:pt>
                <c:pt idx="5">
                  <c:v>0.1</c:v>
                </c:pt>
                <c:pt idx="6">
                  <c:v>0.112</c:v>
                </c:pt>
                <c:pt idx="7">
                  <c:v>0.115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2E-42EA-8965-2927A6E075D3}"/>
            </c:ext>
          </c:extLst>
        </c:ser>
        <c:ser>
          <c:idx val="8"/>
          <c:order val="8"/>
          <c:tx>
            <c:strRef>
              <c:f>Demographics!$O$42</c:f>
              <c:strCache>
                <c:ptCount val="1"/>
                <c:pt idx="0">
                  <c:v>40 – 44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</c:numCache>
            </c:numRef>
          </c:xVal>
          <c:yVal>
            <c:numRef>
              <c:f>Demographics!$P$42:$AE$42</c:f>
              <c:numCache>
                <c:formatCode>General</c:formatCode>
                <c:ptCount val="8"/>
                <c:pt idx="0">
                  <c:v>5.3999999999999999E-2</c:v>
                </c:pt>
                <c:pt idx="1">
                  <c:v>5.3999999999999999E-2</c:v>
                </c:pt>
                <c:pt idx="2">
                  <c:v>5.3999999999999999E-2</c:v>
                </c:pt>
                <c:pt idx="3">
                  <c:v>5.3999999999999999E-2</c:v>
                </c:pt>
                <c:pt idx="4">
                  <c:v>5.2999999999999999E-2</c:v>
                </c:pt>
                <c:pt idx="5">
                  <c:v>0.05</c:v>
                </c:pt>
                <c:pt idx="6">
                  <c:v>5.8999999999999997E-2</c:v>
                </c:pt>
                <c:pt idx="7">
                  <c:v>5.7000000000000002E-2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22E-42EA-8965-2927A6E075D3}"/>
            </c:ext>
          </c:extLst>
        </c:ser>
        <c:ser>
          <c:idx val="9"/>
          <c:order val="9"/>
          <c:tx>
            <c:strRef>
              <c:f>Demographics!$O$43</c:f>
              <c:strCache>
                <c:ptCount val="1"/>
                <c:pt idx="0">
                  <c:v>45 – 49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</c:numCache>
            </c:numRef>
          </c:xVal>
          <c:yVal>
            <c:numRef>
              <c:f>Demographics!$P$43:$AE$43</c:f>
              <c:numCache>
                <c:formatCode>General</c:formatCode>
                <c:ptCount val="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22E-42EA-8965-2927A6E0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40448"/>
        <c:axId val="176442368"/>
      </c:scatterChart>
      <c:valAx>
        <c:axId val="17644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2368"/>
        <c:crosses val="autoZero"/>
        <c:crossBetween val="midCat"/>
      </c:valAx>
      <c:valAx>
        <c:axId val="17644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0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Demographics!$G$1:$G$2</c:f>
              <c:strCache>
                <c:ptCount val="2"/>
                <c:pt idx="0">
                  <c:v>Male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Demographics!$G$3:$G$18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A56-9911-8BD52DB88733}"/>
            </c:ext>
          </c:extLst>
        </c:ser>
        <c:ser>
          <c:idx val="1"/>
          <c:order val="1"/>
          <c:tx>
            <c:strRef>
              <c:f>Demographics!$H$1:$H$2</c:f>
              <c:strCache>
                <c:ptCount val="2"/>
                <c:pt idx="0">
                  <c:v>Male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8-4A56-9911-8BD52DB88733}"/>
            </c:ext>
          </c:extLst>
        </c:ser>
        <c:ser>
          <c:idx val="2"/>
          <c:order val="2"/>
          <c:tx>
            <c:strRef>
              <c:f>Demographics!$I$1:$I$2</c:f>
              <c:strCache>
                <c:ptCount val="2"/>
                <c:pt idx="0">
                  <c:v>Male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8-4A56-9911-8BD52DB8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466176"/>
        <c:axId val="176476160"/>
      </c:barChart>
      <c:catAx>
        <c:axId val="17646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76160"/>
        <c:crosses val="autoZero"/>
        <c:auto val="1"/>
        <c:lblAlgn val="ctr"/>
        <c:lblOffset val="100"/>
        <c:noMultiLvlLbl val="0"/>
      </c:catAx>
      <c:valAx>
        <c:axId val="17647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6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Demographics!$J$2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Demographics!$J$3:$J$18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372-B3AE-202D9743DC72}"/>
            </c:ext>
          </c:extLst>
        </c:ser>
        <c:ser>
          <c:idx val="1"/>
          <c:order val="1"/>
          <c:tx>
            <c:strRef>
              <c:f>Demographics!$K$2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47-4372-B3AE-202D9743DC72}"/>
            </c:ext>
          </c:extLst>
        </c:ser>
        <c:ser>
          <c:idx val="2"/>
          <c:order val="2"/>
          <c:tx>
            <c:strRef>
              <c:f>Demographics!$L$2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47-4372-B3AE-202D9743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56672"/>
        <c:axId val="176562560"/>
      </c:barChart>
      <c:catAx>
        <c:axId val="17655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62560"/>
        <c:crosses val="autoZero"/>
        <c:auto val="1"/>
        <c:lblAlgn val="ctr"/>
        <c:lblOffset val="100"/>
        <c:noMultiLvlLbl val="0"/>
      </c:catAx>
      <c:valAx>
        <c:axId val="17656256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5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Demographics!$B$35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Demographics!$B$36:$B$51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Demographics!$C$35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Demographics!$C$36:$C$51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92384"/>
        <c:axId val="176593920"/>
      </c:barChart>
      <c:catAx>
        <c:axId val="17659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93920"/>
        <c:crosses val="autoZero"/>
        <c:auto val="1"/>
        <c:lblAlgn val="ctr"/>
        <c:lblOffset val="100"/>
        <c:noMultiLvlLbl val="0"/>
      </c:catAx>
      <c:valAx>
        <c:axId val="17659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Total Population</a:t>
            </a:r>
            <a:r>
              <a:rPr lang="en-US" baseline="0"/>
              <a:t>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Targets!$M$3</c:f>
              <c:strCache>
                <c:ptCount val="1"/>
                <c:pt idx="0">
                  <c:v>Total 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7-4B1F-A29C-873FBC82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06368"/>
        <c:axId val="178108288"/>
      </c:scatterChart>
      <c:valAx>
        <c:axId val="17810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08288"/>
        <c:crosses val="autoZero"/>
        <c:crossBetween val="midCat"/>
      </c:valAx>
      <c:valAx>
        <c:axId val="1781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0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Population Growth by Age</a:t>
            </a:r>
            <a:r>
              <a:rPr lang="en-US" baseline="0"/>
              <a:t> Group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Male (0-14)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3C5-95BC-14E7B5A7BDB9}"/>
            </c:ext>
          </c:extLst>
        </c:ser>
        <c:ser>
          <c:idx val="2"/>
          <c:order val="2"/>
          <c:tx>
            <c:v>Female (0-14)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F-43C5-95BC-14E7B5A7BDB9}"/>
            </c:ext>
          </c:extLst>
        </c:ser>
        <c:ser>
          <c:idx val="3"/>
          <c:order val="3"/>
          <c:tx>
            <c:v>Male (15-64)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F-43C5-95BC-14E7B5A7BDB9}"/>
            </c:ext>
          </c:extLst>
        </c:ser>
        <c:ser>
          <c:idx val="4"/>
          <c:order val="4"/>
          <c:tx>
            <c:v>Female (15-64)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160384"/>
        <c:axId val="178154496"/>
      </c:barChart>
      <c:lineChart>
        <c:grouping val="standard"/>
        <c:varyColors val="0"/>
        <c:ser>
          <c:idx val="0"/>
          <c:order val="0"/>
          <c:tx>
            <c:v>Total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51424"/>
        <c:axId val="178152960"/>
      </c:lineChart>
      <c:catAx>
        <c:axId val="17815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52960"/>
        <c:crosses val="autoZero"/>
        <c:auto val="1"/>
        <c:lblAlgn val="ctr"/>
        <c:lblOffset val="100"/>
        <c:noMultiLvlLbl val="0"/>
      </c:catAx>
      <c:valAx>
        <c:axId val="1781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51424"/>
        <c:crosses val="autoZero"/>
        <c:crossBetween val="between"/>
      </c:valAx>
      <c:valAx>
        <c:axId val="178154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60384"/>
        <c:crosses val="max"/>
        <c:crossBetween val="between"/>
      </c:valAx>
      <c:catAx>
        <c:axId val="178160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154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Targets!$F$31:$F$32</c:f>
              <c:strCache>
                <c:ptCount val="2"/>
                <c:pt idx="0">
                  <c:v>HIV Prevalence</c:v>
                </c:pt>
                <c:pt idx="1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Targets!$E$33:$E$54</c:f>
              <c:numCache>
                <c:formatCode>General</c:formatCode>
                <c:ptCount val="2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2012</c:v>
                </c:pt>
              </c:numCache>
            </c:numRef>
          </c:xVal>
          <c:yVal>
            <c:numRef>
              <c:f>Targets!$F$33:$F$54</c:f>
              <c:numCache>
                <c:formatCode>0.00%</c:formatCode>
                <c:ptCount val="22"/>
                <c:pt idx="0">
                  <c:v>5.0000000000000001E-3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2.7E-2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9.5000000000000001E-2</c:v>
                </c:pt>
                <c:pt idx="7">
                  <c:v>0.113</c:v>
                </c:pt>
                <c:pt idx="8">
                  <c:v>0.152</c:v>
                </c:pt>
                <c:pt idx="9">
                  <c:v>0.14899999999999999</c:v>
                </c:pt>
                <c:pt idx="10">
                  <c:v>0.16300000000000001</c:v>
                </c:pt>
                <c:pt idx="11">
                  <c:v>0.223</c:v>
                </c:pt>
                <c:pt idx="12">
                  <c:v>0.24299999999999999</c:v>
                </c:pt>
                <c:pt idx="13" formatCode="0%">
                  <c:v>0.25</c:v>
                </c:pt>
                <c:pt idx="14">
                  <c:v>0.27100000000000002</c:v>
                </c:pt>
                <c:pt idx="15">
                  <c:v>0.26100000000000001</c:v>
                </c:pt>
                <c:pt idx="16">
                  <c:v>0.26100000000000001</c:v>
                </c:pt>
                <c:pt idx="17">
                  <c:v>0.25800000000000001</c:v>
                </c:pt>
                <c:pt idx="18">
                  <c:v>0.25800000000000001</c:v>
                </c:pt>
                <c:pt idx="19">
                  <c:v>0.26300000000000001</c:v>
                </c:pt>
                <c:pt idx="20">
                  <c:v>0.26300000000000001</c:v>
                </c:pt>
                <c:pt idx="21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D-4103-8048-42F5B1AD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81632"/>
        <c:axId val="178183552"/>
      </c:scatterChart>
      <c:valAx>
        <c:axId val="17818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83552"/>
        <c:crosses val="autoZero"/>
        <c:crossBetween val="midCat"/>
      </c:valAx>
      <c:valAx>
        <c:axId val="17818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8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 (0-14)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8C-4267-B725-0AA8C045CC80}"/>
            </c:ext>
          </c:extLst>
        </c:ser>
        <c:ser>
          <c:idx val="1"/>
          <c:order val="1"/>
          <c:tx>
            <c:v>Female (0-14)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8C-4267-B725-0AA8C045CC80}"/>
            </c:ext>
          </c:extLst>
        </c:ser>
        <c:ser>
          <c:idx val="2"/>
          <c:order val="2"/>
          <c:tx>
            <c:v>Male (15-64)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8C-4267-B725-0AA8C045CC80}"/>
            </c:ext>
          </c:extLst>
        </c:ser>
        <c:ser>
          <c:idx val="3"/>
          <c:order val="3"/>
          <c:tx>
            <c:v>Female (15 - 64)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8C-4267-B725-0AA8C045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39360"/>
        <c:axId val="178249728"/>
      </c:scatterChart>
      <c:valAx>
        <c:axId val="17823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9728"/>
        <c:crosses val="autoZero"/>
        <c:crossBetween val="midCat"/>
      </c:valAx>
      <c:valAx>
        <c:axId val="17824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3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Targets!$U$2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Targets!$T$3:$T$13</c:f>
              <c:numCache>
                <c:formatCode>General</c:formatCode>
                <c:ptCount val="11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Targets!$U$3:$U$13</c:f>
              <c:numCache>
                <c:formatCode>General</c:formatCode>
                <c:ptCount val="11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10267300</c:v>
                </c:pt>
                <c:pt idx="4">
                  <c:v>10456909</c:v>
                </c:pt>
                <c:pt idx="5">
                  <c:v>10571313</c:v>
                </c:pt>
                <c:pt idx="6">
                  <c:v>10688168</c:v>
                </c:pt>
                <c:pt idx="7">
                  <c:v>10806536</c:v>
                </c:pt>
                <c:pt idx="8">
                  <c:v>10924776</c:v>
                </c:pt>
                <c:pt idx="9">
                  <c:v>11039740</c:v>
                </c:pt>
                <c:pt idx="10">
                  <c:v>11155657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A-4C3D-8E13-938F498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57280"/>
        <c:axId val="178595328"/>
      </c:scatterChart>
      <c:valAx>
        <c:axId val="17825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95328"/>
        <c:crosses val="autoZero"/>
        <c:crossBetween val="midCat"/>
      </c:valAx>
      <c:valAx>
        <c:axId val="17859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5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40</xdr:col>
      <xdr:colOff>146050</xdr:colOff>
      <xdr:row>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133350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476250</xdr:colOff>
      <xdr:row>51</xdr:row>
      <xdr:rowOff>492579</xdr:rowOff>
    </xdr:from>
    <xdr:to>
      <xdr:col>30</xdr:col>
      <xdr:colOff>535214</xdr:colOff>
      <xdr:row>78</xdr:row>
      <xdr:rowOff>18143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575468</xdr:colOff>
      <xdr:row>21</xdr:row>
      <xdr:rowOff>63499</xdr:rowOff>
    </xdr:from>
    <xdr:to>
      <xdr:col>11</xdr:col>
      <xdr:colOff>738187</xdr:colOff>
      <xdr:row>37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472283</xdr:colOff>
      <xdr:row>39</xdr:row>
      <xdr:rowOff>136524</xdr:rowOff>
    </xdr:from>
    <xdr:to>
      <xdr:col>12</xdr:col>
      <xdr:colOff>134939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547688</xdr:colOff>
      <xdr:row>62</xdr:row>
      <xdr:rowOff>63500</xdr:rowOff>
    </xdr:from>
    <xdr:to>
      <xdr:col>12</xdr:col>
      <xdr:colOff>388937</xdr:colOff>
      <xdr:row>88</xdr:row>
      <xdr:rowOff>93663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6350</xdr:rowOff>
    </xdr:from>
    <xdr:to>
      <xdr:col>14</xdr:col>
      <xdr:colOff>447675</xdr:colOff>
      <xdr:row>28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698500</xdr:colOff>
      <xdr:row>14</xdr:row>
      <xdr:rowOff>107950</xdr:rowOff>
    </xdr:from>
    <xdr:to>
      <xdr:col>22</xdr:col>
      <xdr:colOff>438150</xdr:colOff>
      <xdr:row>31</xdr:row>
      <xdr:rowOff>117475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53975</xdr:colOff>
      <xdr:row>37</xdr:row>
      <xdr:rowOff>22225</xdr:rowOff>
    </xdr:from>
    <xdr:to>
      <xdr:col>16</xdr:col>
      <xdr:colOff>180975</xdr:colOff>
      <xdr:row>52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568325</xdr:colOff>
      <xdr:row>33</xdr:row>
      <xdr:rowOff>98425</xdr:rowOff>
    </xdr:from>
    <xdr:to>
      <xdr:col>23</xdr:col>
      <xdr:colOff>504825</xdr:colOff>
      <xdr:row>48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555625</xdr:colOff>
      <xdr:row>0</xdr:row>
      <xdr:rowOff>180975</xdr:rowOff>
    </xdr:from>
    <xdr:to>
      <xdr:col>30</xdr:col>
      <xdr:colOff>250825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22"/>
  <sheetViews>
    <sheetView tabSelected="1" topLeftCell="N1" zoomScale="80" zoomScaleNormal="80" workbookViewId="0">
      <selection activeCell="R7" sqref="R7:R19"/>
    </sheetView>
  </sheetViews>
  <sheetFormatPr defaultRowHeight="14.5" x14ac:dyDescent="0.35"/>
  <cols>
    <col min="1" max="1" width="17.453125" customWidth="1"/>
    <col min="2" max="2" width="11.1796875" customWidth="1"/>
    <col min="3" max="3" width="10.81640625" customWidth="1"/>
    <col min="6" max="6" width="16.81640625" customWidth="1"/>
    <col min="8" max="8" width="13.1796875" bestFit="1" customWidth="1"/>
    <col min="9" max="9" width="12.26953125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3" max="23" width="9.54296875" bestFit="1" customWidth="1"/>
    <col min="24" max="24" width="0" hidden="1" customWidth="1"/>
    <col min="25" max="25" width="14.1796875" hidden="1" customWidth="1"/>
    <col min="26" max="26" width="13.453125" hidden="1" customWidth="1"/>
    <col min="27" max="27" width="12.26953125" hidden="1" customWidth="1"/>
    <col min="28" max="29" width="13.453125" hidden="1" customWidth="1"/>
    <col min="30" max="30" width="10.81640625" hidden="1" customWidth="1"/>
    <col min="31" max="31" width="8.81640625" hidden="1" customWidth="1"/>
    <col min="32" max="32" width="14.1796875" hidden="1" customWidth="1"/>
    <col min="33" max="33" width="10.1796875" hidden="1" customWidth="1"/>
    <col min="34" max="34" width="0" hidden="1" customWidth="1"/>
    <col min="35" max="35" width="15.54296875" hidden="1" customWidth="1"/>
    <col min="36" max="36" width="13.453125" hidden="1" customWidth="1"/>
    <col min="37" max="37" width="12.26953125" hidden="1" customWidth="1"/>
    <col min="38" max="38" width="12.26953125" bestFit="1" customWidth="1"/>
    <col min="40" max="40" width="15.81640625" customWidth="1"/>
  </cols>
  <sheetData>
    <row r="1" spans="1:45" ht="75.5" thickBot="1" x14ac:dyDescent="0.4">
      <c r="A1" s="1" t="s">
        <v>2</v>
      </c>
      <c r="B1" s="2" t="s">
        <v>0</v>
      </c>
      <c r="C1" s="2" t="s">
        <v>1</v>
      </c>
      <c r="F1" s="73" t="s">
        <v>3</v>
      </c>
      <c r="G1" s="74" t="s">
        <v>0</v>
      </c>
      <c r="H1" s="74"/>
      <c r="I1" s="74"/>
      <c r="J1" s="74" t="s">
        <v>1</v>
      </c>
      <c r="K1" s="74"/>
      <c r="L1" s="74"/>
      <c r="O1" s="75" t="s">
        <v>4</v>
      </c>
      <c r="P1" s="70" t="s">
        <v>5</v>
      </c>
      <c r="Q1" s="70" t="s">
        <v>6</v>
      </c>
      <c r="R1" s="79" t="s">
        <v>7</v>
      </c>
      <c r="S1" s="80"/>
      <c r="T1" s="80"/>
      <c r="U1" s="80"/>
      <c r="V1" s="81"/>
      <c r="Y1" s="3" t="s">
        <v>8</v>
      </c>
      <c r="Z1" s="4" t="s">
        <v>0</v>
      </c>
      <c r="AA1" s="5"/>
      <c r="AB1" s="2"/>
      <c r="AC1" s="4" t="s">
        <v>1</v>
      </c>
      <c r="AD1" s="5"/>
      <c r="AE1" s="2"/>
      <c r="AH1" s="1" t="s">
        <v>86</v>
      </c>
      <c r="AI1" s="2" t="s">
        <v>9</v>
      </c>
      <c r="AJ1" s="2" t="s">
        <v>10</v>
      </c>
      <c r="AK1" s="2" t="s">
        <v>11</v>
      </c>
      <c r="AN1" s="1" t="s">
        <v>12</v>
      </c>
      <c r="AO1" s="2" t="s">
        <v>13</v>
      </c>
      <c r="AP1" s="2" t="s">
        <v>14</v>
      </c>
    </row>
    <row r="2" spans="1:45" ht="46.5" thickBot="1" x14ac:dyDescent="0.4">
      <c r="A2" s="6" t="s">
        <v>15</v>
      </c>
      <c r="B2" s="23">
        <v>418189</v>
      </c>
      <c r="C2" s="23">
        <v>417311</v>
      </c>
      <c r="F2" s="73"/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O2" s="76"/>
      <c r="P2" s="71"/>
      <c r="Q2" s="71"/>
      <c r="R2" s="70" t="s">
        <v>16</v>
      </c>
      <c r="S2" s="70" t="s">
        <v>17</v>
      </c>
      <c r="T2" s="70" t="s">
        <v>43</v>
      </c>
      <c r="U2" s="8" t="s">
        <v>18</v>
      </c>
      <c r="V2" s="8" t="s">
        <v>19</v>
      </c>
      <c r="W2" s="3" t="s">
        <v>20</v>
      </c>
      <c r="Y2" s="9"/>
      <c r="Z2" s="10" t="s">
        <v>9</v>
      </c>
      <c r="AA2" s="10" t="s">
        <v>10</v>
      </c>
      <c r="AB2" s="10" t="s">
        <v>11</v>
      </c>
      <c r="AC2" s="10" t="s">
        <v>9</v>
      </c>
      <c r="AD2" s="10" t="s">
        <v>10</v>
      </c>
      <c r="AE2" s="43" t="s">
        <v>11</v>
      </c>
      <c r="AH2" s="6" t="s">
        <v>0</v>
      </c>
      <c r="AI2" s="61">
        <f>52*4.5</f>
        <v>234</v>
      </c>
      <c r="AJ2" s="61">
        <f>AI2*0.6</f>
        <v>140.4</v>
      </c>
      <c r="AK2" s="61">
        <f>AJ2*0.6</f>
        <v>84.24</v>
      </c>
      <c r="AM2" t="s">
        <v>21</v>
      </c>
      <c r="AN2" s="25">
        <v>1985</v>
      </c>
      <c r="AO2" s="61">
        <v>0.3</v>
      </c>
      <c r="AP2" s="61">
        <v>0.3</v>
      </c>
    </row>
    <row r="3" spans="1:45" ht="33.65" customHeight="1" thickBot="1" x14ac:dyDescent="0.4">
      <c r="A3" s="6" t="s">
        <v>22</v>
      </c>
      <c r="B3" s="23">
        <v>361938</v>
      </c>
      <c r="C3" s="23">
        <v>361594</v>
      </c>
      <c r="F3" s="11" t="s">
        <v>15</v>
      </c>
      <c r="G3" s="24">
        <v>1</v>
      </c>
      <c r="H3" s="24">
        <v>0</v>
      </c>
      <c r="I3" s="24">
        <v>0</v>
      </c>
      <c r="J3" s="24">
        <v>1</v>
      </c>
      <c r="K3" s="24">
        <v>0</v>
      </c>
      <c r="L3" s="24">
        <f>1-J3-K3</f>
        <v>0</v>
      </c>
      <c r="O3" s="77"/>
      <c r="P3" s="72"/>
      <c r="Q3" s="72"/>
      <c r="R3" s="72"/>
      <c r="S3" s="72"/>
      <c r="T3" s="72"/>
      <c r="U3" s="10" t="s">
        <v>23</v>
      </c>
      <c r="V3" s="10" t="s">
        <v>24</v>
      </c>
      <c r="W3" s="9"/>
      <c r="Y3" s="6" t="s">
        <v>15</v>
      </c>
      <c r="Z3" s="23">
        <f>10^-5</f>
        <v>1.0000000000000001E-5</v>
      </c>
      <c r="AA3" s="23">
        <f t="shared" ref="AA3:AE4" si="0">10^-5</f>
        <v>1.0000000000000001E-5</v>
      </c>
      <c r="AB3" s="23">
        <f t="shared" si="0"/>
        <v>1.0000000000000001E-5</v>
      </c>
      <c r="AC3" s="23">
        <f t="shared" si="0"/>
        <v>1.0000000000000001E-5</v>
      </c>
      <c r="AD3" s="23">
        <f t="shared" si="0"/>
        <v>1.0000000000000001E-5</v>
      </c>
      <c r="AE3" s="23">
        <f t="shared" si="0"/>
        <v>1.0000000000000001E-5</v>
      </c>
      <c r="AH3" s="6" t="s">
        <v>1</v>
      </c>
      <c r="AI3" s="61">
        <f>52*4.5</f>
        <v>234</v>
      </c>
      <c r="AJ3" s="61">
        <f>AI3*0.6</f>
        <v>140.4</v>
      </c>
      <c r="AK3" s="61">
        <f>AJ3*0.6</f>
        <v>84.24</v>
      </c>
      <c r="AN3" s="25">
        <v>1988</v>
      </c>
      <c r="AO3" s="61">
        <v>0.4</v>
      </c>
      <c r="AP3" s="61">
        <v>0.4</v>
      </c>
    </row>
    <row r="4" spans="1:45" ht="16" thickBot="1" x14ac:dyDescent="0.4">
      <c r="A4" s="6" t="s">
        <v>25</v>
      </c>
      <c r="B4" s="23">
        <v>327171</v>
      </c>
      <c r="C4" s="23">
        <v>329333</v>
      </c>
      <c r="F4" s="11" t="s">
        <v>22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4">
        <f t="shared" ref="L4:L5" si="1">1-J4-K4</f>
        <v>0</v>
      </c>
      <c r="N4" t="s">
        <v>26</v>
      </c>
      <c r="O4" s="6" t="s">
        <v>15</v>
      </c>
      <c r="P4" s="23">
        <v>9.1999999999999998E-3</v>
      </c>
      <c r="Q4" s="23">
        <v>9.1999999999999998E-3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Y4" s="6" t="s">
        <v>22</v>
      </c>
      <c r="Z4" s="23">
        <f>10^-5</f>
        <v>1.0000000000000001E-5</v>
      </c>
      <c r="AA4" s="23">
        <f t="shared" si="0"/>
        <v>1.0000000000000001E-5</v>
      </c>
      <c r="AB4" s="23">
        <f t="shared" si="0"/>
        <v>1.0000000000000001E-5</v>
      </c>
      <c r="AC4" s="23">
        <f t="shared" si="0"/>
        <v>1.0000000000000001E-5</v>
      </c>
      <c r="AD4" s="23">
        <f t="shared" si="0"/>
        <v>1.0000000000000001E-5</v>
      </c>
      <c r="AE4" s="23">
        <f t="shared" si="0"/>
        <v>1.0000000000000001E-5</v>
      </c>
      <c r="AM4" t="s">
        <v>27</v>
      </c>
      <c r="AN4" s="25">
        <v>2003</v>
      </c>
      <c r="AO4" s="61">
        <v>0.3</v>
      </c>
      <c r="AP4" s="61">
        <v>0.3</v>
      </c>
    </row>
    <row r="5" spans="1:45" ht="16" thickBot="1" x14ac:dyDescent="0.4">
      <c r="A5" s="6" t="s">
        <v>28</v>
      </c>
      <c r="B5" s="23">
        <v>289627</v>
      </c>
      <c r="C5" s="23">
        <v>296947</v>
      </c>
      <c r="F5" s="11" t="s">
        <v>25</v>
      </c>
      <c r="G5" s="24">
        <v>0.98</v>
      </c>
      <c r="H5" s="24">
        <v>1.4999999999999999E-2</v>
      </c>
      <c r="I5" s="24">
        <f>1-G5-H5</f>
        <v>5.0000000000000183E-3</v>
      </c>
      <c r="J5" s="24">
        <v>0.98</v>
      </c>
      <c r="K5" s="24">
        <v>1.4999999999999999E-2</v>
      </c>
      <c r="L5" s="24">
        <f t="shared" si="1"/>
        <v>5.0000000000000183E-3</v>
      </c>
      <c r="O5" s="6" t="s">
        <v>22</v>
      </c>
      <c r="P5" s="23">
        <v>5.2999999999999998E-4</v>
      </c>
      <c r="Q5" s="23">
        <v>4.0000000000000002E-4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Y5" s="6" t="s">
        <v>25</v>
      </c>
      <c r="Z5" s="23">
        <v>1.2E-2</v>
      </c>
      <c r="AA5" s="23">
        <v>0.12</v>
      </c>
      <c r="AB5" s="23">
        <v>1.2</v>
      </c>
      <c r="AC5" s="23">
        <v>1.2E-2</v>
      </c>
      <c r="AD5" s="42">
        <v>0.12</v>
      </c>
      <c r="AE5" s="44">
        <v>1.2</v>
      </c>
    </row>
    <row r="6" spans="1:45" ht="16" thickBot="1" x14ac:dyDescent="0.4">
      <c r="A6" s="6" t="s">
        <v>30</v>
      </c>
      <c r="B6" s="23">
        <v>262704</v>
      </c>
      <c r="C6" s="23">
        <v>273204</v>
      </c>
      <c r="F6" s="11" t="s">
        <v>28</v>
      </c>
      <c r="G6" s="24">
        <v>0.50909090909090904</v>
      </c>
      <c r="H6" s="24">
        <v>0.40757575757575759</v>
      </c>
      <c r="I6" s="24">
        <v>8.3333333333333315E-2</v>
      </c>
      <c r="J6" s="24">
        <v>0.96368038740920081</v>
      </c>
      <c r="K6" s="24">
        <v>3.3898305084745763E-2</v>
      </c>
      <c r="L6" s="24">
        <v>2.4213075060532689E-3</v>
      </c>
      <c r="O6" s="6" t="s">
        <v>25</v>
      </c>
      <c r="P6" s="23">
        <v>5.5999999999999995E-4</v>
      </c>
      <c r="Q6" s="23">
        <v>4.2999999999999999E-4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Y6" s="6" t="s">
        <v>28</v>
      </c>
      <c r="Z6" s="23">
        <v>0.66369047619047616</v>
      </c>
      <c r="AA6" s="23">
        <v>2.553903345724907</v>
      </c>
      <c r="AB6" s="23">
        <v>6.9636363636363638</v>
      </c>
      <c r="AC6" s="23">
        <v>0.66959798994974873</v>
      </c>
      <c r="AD6" s="42">
        <v>2.2142857142857144</v>
      </c>
      <c r="AE6" s="45">
        <v>6.5</v>
      </c>
      <c r="AN6" t="s">
        <v>29</v>
      </c>
    </row>
    <row r="7" spans="1:45" ht="16" thickBot="1" x14ac:dyDescent="0.4">
      <c r="A7" s="6" t="s">
        <v>31</v>
      </c>
      <c r="B7" s="23">
        <v>235673</v>
      </c>
      <c r="C7" s="23">
        <v>249396</v>
      </c>
      <c r="F7" s="11" t="s">
        <v>30</v>
      </c>
      <c r="G7" s="24">
        <v>0.47198879551820722</v>
      </c>
      <c r="H7" s="24">
        <v>0.44257703081232491</v>
      </c>
      <c r="I7" s="24">
        <v>8.5434173669467789E-2</v>
      </c>
      <c r="J7" s="24">
        <v>0.95901639344262291</v>
      </c>
      <c r="K7" s="24">
        <v>3.9344262295081971E-2</v>
      </c>
      <c r="L7" s="24">
        <v>1.6393442622950817E-3</v>
      </c>
      <c r="O7" s="6" t="s">
        <v>28</v>
      </c>
      <c r="P7" s="23">
        <v>1.83E-3</v>
      </c>
      <c r="Q7" s="23">
        <v>7.6000000000000004E-4</v>
      </c>
      <c r="R7" s="23">
        <f>AS12 * 2</f>
        <v>0.1414</v>
      </c>
      <c r="S7" s="23">
        <f>R7</f>
        <v>0.1414</v>
      </c>
      <c r="T7" s="23">
        <f>S7</f>
        <v>0.1414</v>
      </c>
      <c r="U7" s="23">
        <f>T7*(1-0.42)</f>
        <v>8.2012000000000015E-2</v>
      </c>
      <c r="V7" s="23">
        <f>U7</f>
        <v>8.2012000000000015E-2</v>
      </c>
      <c r="W7" s="23">
        <f>R7*(1-0.59)</f>
        <v>5.7974000000000005E-2</v>
      </c>
      <c r="Y7" s="6" t="s">
        <v>30</v>
      </c>
      <c r="Z7" s="23">
        <v>0.70326409495548958</v>
      </c>
      <c r="AA7" s="23">
        <v>2.5474683544303796</v>
      </c>
      <c r="AB7" s="23">
        <v>7.6721311475409832</v>
      </c>
      <c r="AC7" s="23">
        <v>0.79487179487179482</v>
      </c>
      <c r="AD7" s="42">
        <v>2.25</v>
      </c>
      <c r="AE7" s="45">
        <v>10</v>
      </c>
    </row>
    <row r="8" spans="1:45" ht="16" thickBot="1" x14ac:dyDescent="0.4">
      <c r="A8" s="6" t="s">
        <v>32</v>
      </c>
      <c r="B8" s="23">
        <v>197816</v>
      </c>
      <c r="C8" s="23">
        <v>211839</v>
      </c>
      <c r="F8" s="11" t="s">
        <v>31</v>
      </c>
      <c r="G8" s="24">
        <v>0.51034482758620692</v>
      </c>
      <c r="H8" s="24">
        <v>0.41149425287356323</v>
      </c>
      <c r="I8" s="24">
        <v>7.8160919540229884E-2</v>
      </c>
      <c r="J8" s="24">
        <v>0.95509822263797939</v>
      </c>
      <c r="K8" s="24">
        <v>4.2095416276894303E-2</v>
      </c>
      <c r="L8" s="24">
        <v>2.8063610851262861E-3</v>
      </c>
      <c r="O8" s="6" t="s">
        <v>30</v>
      </c>
      <c r="P8" s="23">
        <v>3.98E-3</v>
      </c>
      <c r="Q8" s="23">
        <v>1.2999999999999999E-3</v>
      </c>
      <c r="R8" s="23">
        <f t="shared" ref="R8:R19" si="2">AS13 * 2</f>
        <v>0.27800000000000002</v>
      </c>
      <c r="S8" s="23">
        <f t="shared" ref="S8:T13" si="3">R8</f>
        <v>0.27800000000000002</v>
      </c>
      <c r="T8" s="23">
        <f t="shared" si="3"/>
        <v>0.27800000000000002</v>
      </c>
      <c r="U8" s="23">
        <f t="shared" ref="U8:U13" si="4">T8*(1-0.42)</f>
        <v>0.16124000000000002</v>
      </c>
      <c r="V8" s="23">
        <f t="shared" ref="V8:V13" si="5">U8</f>
        <v>0.16124000000000002</v>
      </c>
      <c r="W8" s="23">
        <f t="shared" ref="W8:W13" si="6">R8*(1-0.59)</f>
        <v>0.11398000000000003</v>
      </c>
      <c r="Y8" s="6" t="s">
        <v>31</v>
      </c>
      <c r="Z8" s="23">
        <v>0.77027027027027029</v>
      </c>
      <c r="AA8" s="23">
        <v>2.564245810055866</v>
      </c>
      <c r="AB8" s="23">
        <v>6.9705882352941178</v>
      </c>
      <c r="AC8" s="23">
        <v>0.80509304603330067</v>
      </c>
      <c r="AD8" s="42">
        <v>2.2666666666666666</v>
      </c>
      <c r="AE8" s="45">
        <v>5.333333333333333</v>
      </c>
      <c r="AG8" s="62" t="s">
        <v>0</v>
      </c>
      <c r="AH8" s="60"/>
      <c r="AI8" s="60"/>
      <c r="AJ8" s="78" t="s">
        <v>106</v>
      </c>
      <c r="AK8" s="78"/>
      <c r="AL8" s="78"/>
    </row>
    <row r="9" spans="1:45" ht="16" thickBot="1" x14ac:dyDescent="0.4">
      <c r="A9" s="6" t="s">
        <v>33</v>
      </c>
      <c r="B9" s="23">
        <v>160952</v>
      </c>
      <c r="C9" s="23">
        <v>176470</v>
      </c>
      <c r="F9" s="11" t="s">
        <v>34</v>
      </c>
      <c r="G9" s="24">
        <v>0.60451977401129942</v>
      </c>
      <c r="H9" s="24">
        <v>0.34180790960451979</v>
      </c>
      <c r="I9" s="24">
        <v>5.3672316384180789E-2</v>
      </c>
      <c r="J9" s="24">
        <v>0.983032873806999</v>
      </c>
      <c r="K9" s="24">
        <f>0.0169671261930011-0.001</f>
        <v>1.5967126193001099E-2</v>
      </c>
      <c r="L9" s="24">
        <v>1E-3</v>
      </c>
      <c r="O9" s="6" t="s">
        <v>31</v>
      </c>
      <c r="P9" s="23">
        <v>5.1399999999999996E-3</v>
      </c>
      <c r="Q9" s="23">
        <v>1.83E-3</v>
      </c>
      <c r="R9" s="23">
        <f t="shared" si="2"/>
        <v>0.28360000000000002</v>
      </c>
      <c r="S9" s="23">
        <f t="shared" si="3"/>
        <v>0.28360000000000002</v>
      </c>
      <c r="T9" s="23">
        <f t="shared" si="3"/>
        <v>0.28360000000000002</v>
      </c>
      <c r="U9" s="23">
        <f t="shared" si="4"/>
        <v>0.16448800000000002</v>
      </c>
      <c r="V9" s="23">
        <f t="shared" si="5"/>
        <v>0.16448800000000002</v>
      </c>
      <c r="W9" s="23">
        <f t="shared" si="6"/>
        <v>0.11627600000000002</v>
      </c>
      <c r="Y9" s="6" t="s">
        <v>34</v>
      </c>
      <c r="Z9" s="23">
        <v>0.7710280373831776</v>
      </c>
      <c r="AA9" s="23">
        <v>2.4793388429752068</v>
      </c>
      <c r="AB9" s="23">
        <v>5.8421052631578947</v>
      </c>
      <c r="AC9" s="23">
        <v>0.75512405609492983</v>
      </c>
      <c r="AD9" s="42">
        <v>2.0625</v>
      </c>
      <c r="AE9" s="45">
        <v>1</v>
      </c>
      <c r="AG9" s="62" t="s">
        <v>101</v>
      </c>
      <c r="AH9" s="60"/>
      <c r="AI9" s="62" t="s">
        <v>102</v>
      </c>
      <c r="AJ9" s="62" t="s">
        <v>103</v>
      </c>
      <c r="AK9" s="62" t="s">
        <v>104</v>
      </c>
      <c r="AL9" s="62" t="s">
        <v>105</v>
      </c>
    </row>
    <row r="10" spans="1:45" ht="16" thickBot="1" x14ac:dyDescent="0.4">
      <c r="A10" s="6" t="s">
        <v>35</v>
      </c>
      <c r="B10" s="23">
        <v>132311</v>
      </c>
      <c r="C10" s="23">
        <v>143351</v>
      </c>
      <c r="F10" s="11" t="s">
        <v>33</v>
      </c>
      <c r="G10" s="24">
        <v>0.76551724137931032</v>
      </c>
      <c r="H10" s="24">
        <v>0.20344827586206896</v>
      </c>
      <c r="I10" s="24">
        <v>3.1034482758620689E-2</v>
      </c>
      <c r="J10" s="24">
        <v>0.98152424942263283</v>
      </c>
      <c r="K10" s="24">
        <v>1.7321016166281754E-2</v>
      </c>
      <c r="L10" s="24">
        <v>1.1547344110854503E-3</v>
      </c>
      <c r="O10" s="6" t="s">
        <v>34</v>
      </c>
      <c r="P10" s="23">
        <v>6.0600000000000003E-3</v>
      </c>
      <c r="Q10" s="23">
        <v>2.5200000000000001E-3</v>
      </c>
      <c r="R10" s="23">
        <f t="shared" si="2"/>
        <v>0.2112</v>
      </c>
      <c r="S10" s="23">
        <f t="shared" si="3"/>
        <v>0.2112</v>
      </c>
      <c r="T10" s="23">
        <f t="shared" si="3"/>
        <v>0.2112</v>
      </c>
      <c r="U10" s="23">
        <f t="shared" si="4"/>
        <v>0.12249600000000001</v>
      </c>
      <c r="V10" s="23">
        <f t="shared" si="5"/>
        <v>0.12249600000000001</v>
      </c>
      <c r="W10" s="23">
        <f t="shared" si="6"/>
        <v>8.6592000000000002E-2</v>
      </c>
      <c r="Y10" s="6" t="s">
        <v>33</v>
      </c>
      <c r="Z10" s="23">
        <v>0.77927927927927931</v>
      </c>
      <c r="AA10" s="23">
        <v>2.406779661016949</v>
      </c>
      <c r="AB10" s="23">
        <v>6.2222222222222223</v>
      </c>
      <c r="AC10" s="23">
        <v>0.75529411764705878</v>
      </c>
      <c r="AD10" s="42">
        <v>2.2666666666666666</v>
      </c>
      <c r="AE10" s="45">
        <v>9</v>
      </c>
      <c r="AG10" s="63" t="s">
        <v>74</v>
      </c>
      <c r="AH10" s="60"/>
      <c r="AI10" s="60"/>
      <c r="AJ10" s="64">
        <v>0</v>
      </c>
      <c r="AK10" s="64">
        <v>0</v>
      </c>
      <c r="AL10" s="64">
        <v>0</v>
      </c>
    </row>
    <row r="11" spans="1:45" ht="16" thickBot="1" x14ac:dyDescent="0.4">
      <c r="A11" s="6" t="s">
        <v>36</v>
      </c>
      <c r="B11" s="23">
        <v>110849</v>
      </c>
      <c r="C11" s="23">
        <v>123441</v>
      </c>
      <c r="F11" s="11" t="s">
        <v>35</v>
      </c>
      <c r="G11" s="24">
        <v>0.81818181818181812</v>
      </c>
      <c r="H11" s="24">
        <v>0.16783216783216784</v>
      </c>
      <c r="I11" s="24">
        <v>1.3986013986013986E-2</v>
      </c>
      <c r="J11" s="24">
        <v>0.9838536060279871</v>
      </c>
      <c r="K11" s="24">
        <f>0.0161463939720129-0.0001</f>
        <v>1.60463939720129E-2</v>
      </c>
      <c r="L11" s="24">
        <f>1-(J11+K11)</f>
        <v>9.9999999999988987E-5</v>
      </c>
      <c r="O11" s="6" t="s">
        <v>33</v>
      </c>
      <c r="P11" s="23">
        <v>7.1500000000000001E-3</v>
      </c>
      <c r="Q11" s="23">
        <v>3.15E-3</v>
      </c>
      <c r="R11" s="23">
        <f t="shared" si="2"/>
        <v>0.1348</v>
      </c>
      <c r="S11" s="23">
        <f t="shared" si="3"/>
        <v>0.1348</v>
      </c>
      <c r="T11" s="23">
        <f t="shared" si="3"/>
        <v>0.1348</v>
      </c>
      <c r="U11" s="23">
        <f t="shared" si="4"/>
        <v>7.8184000000000017E-2</v>
      </c>
      <c r="V11" s="23">
        <f t="shared" si="5"/>
        <v>7.8184000000000017E-2</v>
      </c>
      <c r="W11" s="23">
        <f t="shared" si="6"/>
        <v>5.5268000000000005E-2</v>
      </c>
      <c r="Y11" s="6" t="s">
        <v>35</v>
      </c>
      <c r="Z11" s="23">
        <v>0.84188034188034189</v>
      </c>
      <c r="AA11" s="23">
        <v>2.4166666666666665</v>
      </c>
      <c r="AB11" s="23">
        <v>7.75</v>
      </c>
      <c r="AC11" s="23">
        <v>0.68708971553610498</v>
      </c>
      <c r="AD11" s="42">
        <v>2.2666666666666666</v>
      </c>
      <c r="AE11" s="45">
        <v>1</v>
      </c>
      <c r="AG11" s="63" t="s">
        <v>72</v>
      </c>
      <c r="AH11" s="60"/>
      <c r="AI11" s="60"/>
      <c r="AJ11" s="64">
        <v>0</v>
      </c>
      <c r="AK11" s="64">
        <v>0</v>
      </c>
      <c r="AL11" s="64">
        <v>0</v>
      </c>
      <c r="AM11" t="s">
        <v>109</v>
      </c>
      <c r="AN11" t="s">
        <v>110</v>
      </c>
      <c r="AO11" t="s">
        <v>54</v>
      </c>
      <c r="AP11" t="s">
        <v>111</v>
      </c>
      <c r="AQ11" t="s">
        <v>112</v>
      </c>
      <c r="AR11" t="s">
        <v>113</v>
      </c>
      <c r="AS11" t="s">
        <v>114</v>
      </c>
    </row>
    <row r="12" spans="1:45" ht="16" thickBot="1" x14ac:dyDescent="0.4">
      <c r="A12" s="6" t="s">
        <v>37</v>
      </c>
      <c r="B12" s="23">
        <v>89027</v>
      </c>
      <c r="C12" s="23">
        <v>98355</v>
      </c>
      <c r="F12" s="11" t="s">
        <v>36</v>
      </c>
      <c r="G12" s="24">
        <v>0.85074626865671632</v>
      </c>
      <c r="H12" s="24">
        <f>0.149253731343284-0.001</f>
        <v>0.14825373134328401</v>
      </c>
      <c r="I12" s="24">
        <v>1E-3</v>
      </c>
      <c r="J12" s="24">
        <v>0.99568965517241381</v>
      </c>
      <c r="K12" s="24">
        <v>2.8735632183908046E-3</v>
      </c>
      <c r="L12" s="24">
        <v>1.4367816091954023E-3</v>
      </c>
      <c r="O12" s="6" t="s">
        <v>35</v>
      </c>
      <c r="P12" s="23">
        <v>9.5200000000000007E-3</v>
      </c>
      <c r="Q12" s="23">
        <v>4.4799999999999996E-3</v>
      </c>
      <c r="R12" s="23">
        <f t="shared" si="2"/>
        <v>5.4200000000000005E-2</v>
      </c>
      <c r="S12" s="23">
        <f t="shared" si="3"/>
        <v>5.4200000000000005E-2</v>
      </c>
      <c r="T12" s="23">
        <f t="shared" si="3"/>
        <v>5.4200000000000005E-2</v>
      </c>
      <c r="U12" s="23">
        <f t="shared" si="4"/>
        <v>3.1436000000000006E-2</v>
      </c>
      <c r="V12" s="23">
        <f t="shared" si="5"/>
        <v>3.1436000000000006E-2</v>
      </c>
      <c r="W12" s="23">
        <f t="shared" si="6"/>
        <v>2.2222000000000002E-2</v>
      </c>
      <c r="Y12" s="6" t="s">
        <v>36</v>
      </c>
      <c r="Z12" s="23">
        <v>0.7192982456140351</v>
      </c>
      <c r="AA12" s="23">
        <v>2.3250000000000002</v>
      </c>
      <c r="AB12" s="23">
        <v>1</v>
      </c>
      <c r="AC12" s="23">
        <v>0.68708971553610498</v>
      </c>
      <c r="AD12" s="42">
        <v>2.2666666666666666</v>
      </c>
      <c r="AE12" s="45">
        <v>1</v>
      </c>
      <c r="AG12" s="63" t="s">
        <v>87</v>
      </c>
      <c r="AH12" s="60"/>
      <c r="AI12" s="65">
        <v>0.05</v>
      </c>
      <c r="AJ12" s="66">
        <v>11.700000000000001</v>
      </c>
      <c r="AK12" s="66">
        <v>7.0200000000000005</v>
      </c>
      <c r="AL12" s="66">
        <v>4.2119999999999997</v>
      </c>
      <c r="AM12" t="s">
        <v>115</v>
      </c>
      <c r="AN12" t="s">
        <v>116</v>
      </c>
      <c r="AO12" t="s">
        <v>117</v>
      </c>
      <c r="AP12" t="s">
        <v>118</v>
      </c>
      <c r="AQ12" t="s">
        <v>119</v>
      </c>
      <c r="AR12">
        <v>70.7</v>
      </c>
      <c r="AS12">
        <f>AR12/1000</f>
        <v>7.0699999999999999E-2</v>
      </c>
    </row>
    <row r="13" spans="1:45" ht="16" thickBot="1" x14ac:dyDescent="0.4">
      <c r="A13" s="49" t="s">
        <v>38</v>
      </c>
      <c r="B13" s="50">
        <v>70487</v>
      </c>
      <c r="C13" s="50">
        <v>82330</v>
      </c>
      <c r="F13" s="11" t="s">
        <v>37</v>
      </c>
      <c r="G13" s="24">
        <v>0.85074626865671632</v>
      </c>
      <c r="H13" s="24">
        <f t="shared" ref="H13:H18" si="7">0.149253731343284-0.001</f>
        <v>0.14825373134328401</v>
      </c>
      <c r="I13" s="24">
        <v>1E-3</v>
      </c>
      <c r="J13" s="24">
        <v>0.99568965517241381</v>
      </c>
      <c r="K13" s="24">
        <v>2.8735632183908046E-3</v>
      </c>
      <c r="L13" s="24">
        <v>1.4367816091954023E-3</v>
      </c>
      <c r="O13" s="6" t="s">
        <v>36</v>
      </c>
      <c r="P13" s="23">
        <v>1.1780000000000001E-2</v>
      </c>
      <c r="Q13" s="23">
        <v>5.7600000000000004E-3</v>
      </c>
      <c r="R13" s="23">
        <f t="shared" si="2"/>
        <v>1.7600000000000001E-2</v>
      </c>
      <c r="S13" s="23">
        <f t="shared" si="3"/>
        <v>1.7600000000000001E-2</v>
      </c>
      <c r="T13" s="23">
        <f t="shared" si="3"/>
        <v>1.7600000000000001E-2</v>
      </c>
      <c r="U13" s="23">
        <f t="shared" si="4"/>
        <v>1.0208000000000002E-2</v>
      </c>
      <c r="V13" s="23">
        <f t="shared" si="5"/>
        <v>1.0208000000000002E-2</v>
      </c>
      <c r="W13" s="23">
        <f t="shared" si="6"/>
        <v>7.2160000000000011E-3</v>
      </c>
      <c r="Y13" s="6" t="s">
        <v>37</v>
      </c>
      <c r="Z13" s="23">
        <v>0.7192982456140351</v>
      </c>
      <c r="AA13" s="23">
        <v>2.3250000000000002</v>
      </c>
      <c r="AB13" s="23">
        <v>1</v>
      </c>
      <c r="AC13" s="23">
        <v>0.68708971553610498</v>
      </c>
      <c r="AD13" s="42">
        <v>2.2666666666666666</v>
      </c>
      <c r="AE13" s="45">
        <v>1</v>
      </c>
      <c r="AG13" s="63" t="s">
        <v>88</v>
      </c>
      <c r="AH13" s="60"/>
      <c r="AI13" s="65">
        <v>0.1</v>
      </c>
      <c r="AJ13" s="66">
        <f>AJ15*$AI$13</f>
        <v>23.400000000000002</v>
      </c>
      <c r="AK13" s="66">
        <f>AK15*$AI$13</f>
        <v>14.040000000000001</v>
      </c>
      <c r="AL13" s="66">
        <f>AL15*$AI$13</f>
        <v>8.4239999999999995</v>
      </c>
      <c r="AM13" t="s">
        <v>115</v>
      </c>
      <c r="AN13" t="s">
        <v>120</v>
      </c>
      <c r="AO13" t="s">
        <v>117</v>
      </c>
      <c r="AP13" t="s">
        <v>118</v>
      </c>
      <c r="AQ13" t="s">
        <v>119</v>
      </c>
      <c r="AR13">
        <v>139</v>
      </c>
      <c r="AS13">
        <f t="shared" ref="AS13:AS18" si="8">AR13/1000</f>
        <v>0.13900000000000001</v>
      </c>
    </row>
    <row r="14" spans="1:45" ht="16" thickBot="1" x14ac:dyDescent="0.4">
      <c r="A14" s="47" t="s">
        <v>97</v>
      </c>
      <c r="B14" s="51">
        <f>314094/6.27</f>
        <v>50094.736842105267</v>
      </c>
      <c r="C14" s="51">
        <f>366793/6.36</f>
        <v>57671.85534591195</v>
      </c>
      <c r="F14" s="11" t="s">
        <v>38</v>
      </c>
      <c r="G14" s="24">
        <v>0.85074626865671632</v>
      </c>
      <c r="H14" s="24">
        <f t="shared" si="7"/>
        <v>0.14825373134328401</v>
      </c>
      <c r="I14" s="24">
        <v>1E-3</v>
      </c>
      <c r="J14" s="24">
        <v>0.99568965517241381</v>
      </c>
      <c r="K14" s="24">
        <v>2.8735632183908046E-3</v>
      </c>
      <c r="L14" s="24">
        <v>1.4367816091954023E-3</v>
      </c>
      <c r="O14" s="6" t="s">
        <v>37</v>
      </c>
      <c r="P14" s="23">
        <v>1.711E-2</v>
      </c>
      <c r="Q14" s="23">
        <v>9.6399999999999993E-3</v>
      </c>
      <c r="R14" s="23">
        <f t="shared" si="2"/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Y14" s="6" t="s">
        <v>38</v>
      </c>
      <c r="Z14" s="23">
        <v>0.7192982456140351</v>
      </c>
      <c r="AA14" s="23">
        <v>2.3250000000000002</v>
      </c>
      <c r="AB14" s="23">
        <v>1</v>
      </c>
      <c r="AC14" s="23">
        <v>0.68708971553610498</v>
      </c>
      <c r="AD14" s="42">
        <v>2.2666666666666666</v>
      </c>
      <c r="AE14" s="45">
        <v>1</v>
      </c>
      <c r="AG14" s="63" t="s">
        <v>89</v>
      </c>
      <c r="AH14" s="60"/>
      <c r="AI14" s="60">
        <v>0.7</v>
      </c>
      <c r="AJ14" s="64">
        <f>AJ15*AI14</f>
        <v>163.79999999999998</v>
      </c>
      <c r="AK14" s="64">
        <f>AK15*AI14</f>
        <v>98.28</v>
      </c>
      <c r="AL14" s="64">
        <f>AL15*AI14</f>
        <v>58.967999999999989</v>
      </c>
      <c r="AM14" t="s">
        <v>115</v>
      </c>
      <c r="AN14" t="s">
        <v>121</v>
      </c>
      <c r="AO14" t="s">
        <v>117</v>
      </c>
      <c r="AP14" t="s">
        <v>118</v>
      </c>
      <c r="AQ14" t="s">
        <v>119</v>
      </c>
      <c r="AR14">
        <v>141.80000000000001</v>
      </c>
      <c r="AS14">
        <f t="shared" si="8"/>
        <v>0.14180000000000001</v>
      </c>
    </row>
    <row r="15" spans="1:45" ht="16" thickBot="1" x14ac:dyDescent="0.4">
      <c r="A15" s="47" t="s">
        <v>98</v>
      </c>
      <c r="B15" s="51">
        <f>224490/6.27</f>
        <v>35803.827751196171</v>
      </c>
      <c r="C15" s="51">
        <f>282911/6.36</f>
        <v>44482.861635220121</v>
      </c>
      <c r="F15" s="47" t="s">
        <v>97</v>
      </c>
      <c r="G15" s="48">
        <v>0.85074626865671632</v>
      </c>
      <c r="H15" s="48">
        <f t="shared" si="7"/>
        <v>0.14825373134328401</v>
      </c>
      <c r="I15" s="48">
        <v>1E-3</v>
      </c>
      <c r="J15" s="48">
        <v>0.99568965517241381</v>
      </c>
      <c r="K15" s="48">
        <v>2.8735632183908046E-3</v>
      </c>
      <c r="L15" s="48">
        <v>1.4367816091954023E-3</v>
      </c>
      <c r="O15" s="6" t="s">
        <v>38</v>
      </c>
      <c r="P15" s="23">
        <v>2.0809999999999999E-2</v>
      </c>
      <c r="Q15" s="23">
        <v>1.2930000000000001E-2</v>
      </c>
      <c r="R15" s="23">
        <f t="shared" si="2"/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Y15" s="47" t="s">
        <v>97</v>
      </c>
      <c r="Z15" s="54">
        <v>0.7192982456140351</v>
      </c>
      <c r="AA15" s="54">
        <v>2.3250000000000002</v>
      </c>
      <c r="AB15" s="54">
        <v>1</v>
      </c>
      <c r="AC15" s="54">
        <v>0.68708971553610498</v>
      </c>
      <c r="AD15" s="55">
        <v>2.2666666666666666</v>
      </c>
      <c r="AE15" s="56">
        <v>1</v>
      </c>
      <c r="AG15" s="63" t="s">
        <v>90</v>
      </c>
      <c r="AH15" s="65">
        <v>1</v>
      </c>
      <c r="AI15" s="60"/>
      <c r="AJ15" s="66">
        <v>234</v>
      </c>
      <c r="AK15" s="66">
        <v>140.4</v>
      </c>
      <c r="AL15" s="66">
        <v>84.24</v>
      </c>
      <c r="AM15" t="s">
        <v>115</v>
      </c>
      <c r="AN15" t="s">
        <v>122</v>
      </c>
      <c r="AO15" t="s">
        <v>117</v>
      </c>
      <c r="AP15" t="s">
        <v>118</v>
      </c>
      <c r="AQ15" t="s">
        <v>119</v>
      </c>
      <c r="AR15">
        <v>105.6</v>
      </c>
      <c r="AS15">
        <f t="shared" si="8"/>
        <v>0.1056</v>
      </c>
    </row>
    <row r="16" spans="1:45" ht="16" thickBot="1" x14ac:dyDescent="0.4">
      <c r="A16" s="47" t="s">
        <v>99</v>
      </c>
      <c r="B16" s="51">
        <f>151123/6.27</f>
        <v>24102.551834130783</v>
      </c>
      <c r="C16" s="51">
        <f>215469/6.36</f>
        <v>33878.773584905655</v>
      </c>
      <c r="F16" s="47" t="s">
        <v>98</v>
      </c>
      <c r="G16" s="48">
        <v>0.85074626865671632</v>
      </c>
      <c r="H16" s="48">
        <f t="shared" si="7"/>
        <v>0.14825373134328401</v>
      </c>
      <c r="I16" s="48">
        <v>1E-3</v>
      </c>
      <c r="J16" s="48">
        <v>0.99568965517241381</v>
      </c>
      <c r="K16" s="48">
        <v>2.8735632183908046E-3</v>
      </c>
      <c r="L16" s="48">
        <v>1.4367816091954023E-3</v>
      </c>
      <c r="O16" s="47" t="s">
        <v>97</v>
      </c>
      <c r="P16" s="54">
        <v>2.0809999999999999E-2</v>
      </c>
      <c r="Q16" s="54">
        <v>1.2930000000000001E-2</v>
      </c>
      <c r="R16" s="23">
        <f t="shared" si="2"/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Y16" s="47" t="s">
        <v>98</v>
      </c>
      <c r="Z16" s="54">
        <v>0.7192982456140351</v>
      </c>
      <c r="AA16" s="54">
        <v>2.3250000000000002</v>
      </c>
      <c r="AB16" s="54">
        <v>1</v>
      </c>
      <c r="AC16" s="54">
        <v>0.68708971553610498</v>
      </c>
      <c r="AD16" s="55">
        <v>2.2666666666666666</v>
      </c>
      <c r="AE16" s="56">
        <v>1</v>
      </c>
      <c r="AG16" s="63" t="s">
        <v>91</v>
      </c>
      <c r="AH16" s="65">
        <v>5</v>
      </c>
      <c r="AI16" s="60">
        <f t="shared" ref="AI16:AI25" si="9">EXP(LN(0.5)*AH16/10)</f>
        <v>0.70710678118654757</v>
      </c>
      <c r="AJ16" s="66">
        <f t="shared" ref="AJ16:AJ25" si="10">$AJ$15*AI16</f>
        <v>165.46298679765212</v>
      </c>
      <c r="AK16" s="66">
        <f t="shared" ref="AK16:AK25" si="11">$AK$15*AI16</f>
        <v>99.27779207859129</v>
      </c>
      <c r="AL16" s="66">
        <f t="shared" ref="AL16:AL25" si="12">$AL$15*AI16</f>
        <v>59.566675247154762</v>
      </c>
      <c r="AM16" t="s">
        <v>115</v>
      </c>
      <c r="AN16" t="s">
        <v>123</v>
      </c>
      <c r="AO16" t="s">
        <v>117</v>
      </c>
      <c r="AP16" t="s">
        <v>118</v>
      </c>
      <c r="AQ16" t="s">
        <v>119</v>
      </c>
      <c r="AR16">
        <v>67.400000000000006</v>
      </c>
      <c r="AS16">
        <f t="shared" si="8"/>
        <v>6.7400000000000002E-2</v>
      </c>
    </row>
    <row r="17" spans="1:45" ht="16" thickBot="1" x14ac:dyDescent="0.4">
      <c r="A17" s="47" t="s">
        <v>100</v>
      </c>
      <c r="B17" s="51">
        <f>89288/6.27</f>
        <v>14240.510366826158</v>
      </c>
      <c r="C17" s="51">
        <f>144901/6.36</f>
        <v>22783.176100628931</v>
      </c>
      <c r="F17" s="47" t="s">
        <v>99</v>
      </c>
      <c r="G17" s="48">
        <v>0.85074626865671632</v>
      </c>
      <c r="H17" s="48">
        <f t="shared" si="7"/>
        <v>0.14825373134328401</v>
      </c>
      <c r="I17" s="48">
        <v>1E-3</v>
      </c>
      <c r="J17" s="48">
        <v>0.99568965517241381</v>
      </c>
      <c r="K17" s="48">
        <v>2.8735632183908046E-3</v>
      </c>
      <c r="L17" s="48">
        <v>1.4367816091954023E-3</v>
      </c>
      <c r="O17" s="47" t="s">
        <v>98</v>
      </c>
      <c r="P17" s="54">
        <v>2.0809999999999999E-2</v>
      </c>
      <c r="Q17" s="54">
        <v>1.2930000000000001E-2</v>
      </c>
      <c r="R17" s="23">
        <f t="shared" si="2"/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Y17" s="47" t="s">
        <v>99</v>
      </c>
      <c r="Z17" s="54">
        <v>0.7192982456140351</v>
      </c>
      <c r="AA17" s="54">
        <v>2.3250000000000002</v>
      </c>
      <c r="AB17" s="54">
        <v>1</v>
      </c>
      <c r="AC17" s="54">
        <v>0.68708971553610498</v>
      </c>
      <c r="AD17" s="55">
        <v>2.2666666666666666</v>
      </c>
      <c r="AE17" s="56">
        <v>1</v>
      </c>
      <c r="AG17" s="63" t="s">
        <v>92</v>
      </c>
      <c r="AH17" s="65">
        <v>10</v>
      </c>
      <c r="AI17" s="60">
        <f t="shared" si="9"/>
        <v>0.5</v>
      </c>
      <c r="AJ17" s="66">
        <f t="shared" si="10"/>
        <v>117</v>
      </c>
      <c r="AK17" s="66">
        <f t="shared" si="11"/>
        <v>70.2</v>
      </c>
      <c r="AL17" s="66">
        <f t="shared" si="12"/>
        <v>42.12</v>
      </c>
      <c r="AM17" t="s">
        <v>115</v>
      </c>
      <c r="AN17" t="s">
        <v>124</v>
      </c>
      <c r="AO17" t="s">
        <v>117</v>
      </c>
      <c r="AP17" t="s">
        <v>118</v>
      </c>
      <c r="AQ17" t="s">
        <v>119</v>
      </c>
      <c r="AR17">
        <v>27.1</v>
      </c>
      <c r="AS17">
        <f t="shared" si="8"/>
        <v>2.7100000000000003E-2</v>
      </c>
    </row>
    <row r="18" spans="1:45" ht="16" thickBot="1" x14ac:dyDescent="0.4">
      <c r="A18" s="52" t="s">
        <v>44</v>
      </c>
      <c r="B18" s="20">
        <f>SUM(B2:B17)</f>
        <v>2780985.6267942581</v>
      </c>
      <c r="C18" s="20">
        <f>SUM(C2:C17)</f>
        <v>2922387.6666666665</v>
      </c>
      <c r="D18" s="20">
        <f>SUM(B18:C18)</f>
        <v>5703373.2934609242</v>
      </c>
      <c r="F18" s="47" t="s">
        <v>100</v>
      </c>
      <c r="G18" s="48">
        <v>0.85074626865671632</v>
      </c>
      <c r="H18" s="48">
        <f t="shared" si="7"/>
        <v>0.14825373134328401</v>
      </c>
      <c r="I18" s="48">
        <v>1E-3</v>
      </c>
      <c r="J18" s="48">
        <v>0.99568965517241381</v>
      </c>
      <c r="K18" s="48">
        <v>2.8735632183908046E-3</v>
      </c>
      <c r="L18" s="48">
        <v>1.4367816091954023E-3</v>
      </c>
      <c r="O18" s="47" t="s">
        <v>99</v>
      </c>
      <c r="P18" s="54">
        <v>2.0809999999999999E-2</v>
      </c>
      <c r="Q18" s="54">
        <v>1.2930000000000001E-2</v>
      </c>
      <c r="R18" s="23">
        <f t="shared" si="2"/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30"/>
      <c r="Y18" s="47" t="s">
        <v>100</v>
      </c>
      <c r="Z18" s="54">
        <v>0.7192982456140351</v>
      </c>
      <c r="AA18" s="54">
        <v>2.3250000000000002</v>
      </c>
      <c r="AB18" s="54">
        <v>1</v>
      </c>
      <c r="AC18" s="54">
        <v>0.68708971553610498</v>
      </c>
      <c r="AD18" s="55">
        <v>2.2666666666666666</v>
      </c>
      <c r="AE18" s="56">
        <v>1</v>
      </c>
      <c r="AG18" s="63" t="s">
        <v>93</v>
      </c>
      <c r="AH18" s="65">
        <v>15</v>
      </c>
      <c r="AI18" s="60">
        <f t="shared" si="9"/>
        <v>0.35355339059327379</v>
      </c>
      <c r="AJ18" s="66">
        <f t="shared" si="10"/>
        <v>82.731493398826061</v>
      </c>
      <c r="AK18" s="66">
        <f t="shared" si="11"/>
        <v>49.638896039295645</v>
      </c>
      <c r="AL18" s="66">
        <f t="shared" si="12"/>
        <v>29.783337623577381</v>
      </c>
      <c r="AM18" t="s">
        <v>115</v>
      </c>
      <c r="AN18" t="s">
        <v>125</v>
      </c>
      <c r="AO18" t="s">
        <v>117</v>
      </c>
      <c r="AP18" t="s">
        <v>118</v>
      </c>
      <c r="AQ18" t="s">
        <v>119</v>
      </c>
      <c r="AR18">
        <v>8.8000000000000007</v>
      </c>
      <c r="AS18">
        <f t="shared" si="8"/>
        <v>8.8000000000000005E-3</v>
      </c>
    </row>
    <row r="19" spans="1:45" ht="16" thickBot="1" x14ac:dyDescent="0.4">
      <c r="A19" s="12"/>
      <c r="B19" s="12"/>
      <c r="O19" s="47" t="s">
        <v>100</v>
      </c>
      <c r="P19" s="54">
        <v>2.0809999999999999E-2</v>
      </c>
      <c r="Q19" s="54">
        <v>1.2930000000000001E-2</v>
      </c>
      <c r="R19" s="23">
        <f t="shared" si="2"/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AG19" s="63" t="s">
        <v>94</v>
      </c>
      <c r="AH19" s="65">
        <v>20</v>
      </c>
      <c r="AI19" s="60">
        <f t="shared" si="9"/>
        <v>0.25</v>
      </c>
      <c r="AJ19" s="66">
        <f t="shared" si="10"/>
        <v>58.5</v>
      </c>
      <c r="AK19" s="66">
        <f t="shared" si="11"/>
        <v>35.1</v>
      </c>
      <c r="AL19" s="66">
        <f t="shared" si="12"/>
        <v>21.06</v>
      </c>
    </row>
    <row r="20" spans="1:45" ht="15.5" x14ac:dyDescent="0.35">
      <c r="A20" s="12"/>
      <c r="B20" s="12"/>
      <c r="AG20" s="63" t="s">
        <v>95</v>
      </c>
      <c r="AH20" s="65">
        <v>25</v>
      </c>
      <c r="AI20" s="60">
        <f t="shared" si="9"/>
        <v>0.17677669529663689</v>
      </c>
      <c r="AJ20" s="66">
        <f t="shared" si="10"/>
        <v>41.36574669941303</v>
      </c>
      <c r="AK20" s="66">
        <f t="shared" si="11"/>
        <v>24.819448019647822</v>
      </c>
      <c r="AL20" s="66">
        <f t="shared" si="12"/>
        <v>14.891668811788691</v>
      </c>
    </row>
    <row r="21" spans="1:45" ht="15.5" x14ac:dyDescent="0.35">
      <c r="Y21" t="s">
        <v>84</v>
      </c>
      <c r="AG21" s="63" t="s">
        <v>96</v>
      </c>
      <c r="AH21" s="65">
        <v>30</v>
      </c>
      <c r="AI21" s="60">
        <f t="shared" si="9"/>
        <v>0.12500000000000003</v>
      </c>
      <c r="AJ21" s="66">
        <f t="shared" si="10"/>
        <v>29.250000000000007</v>
      </c>
      <c r="AK21" s="66">
        <f t="shared" si="11"/>
        <v>17.550000000000004</v>
      </c>
      <c r="AL21" s="66">
        <f t="shared" si="12"/>
        <v>10.530000000000001</v>
      </c>
    </row>
    <row r="22" spans="1:45" ht="15.5" x14ac:dyDescent="0.35">
      <c r="A22" s="12"/>
      <c r="B22" s="12"/>
      <c r="Y22" s="13" t="s">
        <v>40</v>
      </c>
      <c r="AG22" s="63" t="s">
        <v>97</v>
      </c>
      <c r="AH22" s="65">
        <v>35</v>
      </c>
      <c r="AI22" s="60">
        <f t="shared" si="9"/>
        <v>8.8388347648318447E-2</v>
      </c>
      <c r="AJ22" s="66">
        <f t="shared" si="10"/>
        <v>20.682873349706515</v>
      </c>
      <c r="AK22" s="66">
        <f t="shared" si="11"/>
        <v>12.409724009823911</v>
      </c>
      <c r="AL22" s="66">
        <f t="shared" si="12"/>
        <v>7.4458344058943453</v>
      </c>
    </row>
    <row r="23" spans="1:45" ht="31" x14ac:dyDescent="0.35">
      <c r="A23" s="12" t="s">
        <v>39</v>
      </c>
      <c r="B23" s="12"/>
      <c r="F23" s="46"/>
      <c r="P23" s="39" t="s">
        <v>80</v>
      </c>
      <c r="Q23" s="39" t="s">
        <v>81</v>
      </c>
      <c r="R23" s="39" t="s">
        <v>82</v>
      </c>
      <c r="S23" s="39" t="s">
        <v>19</v>
      </c>
      <c r="T23" s="39" t="s">
        <v>83</v>
      </c>
      <c r="Y23" t="s">
        <v>29</v>
      </c>
      <c r="AG23" s="63" t="s">
        <v>98</v>
      </c>
      <c r="AH23" s="65">
        <v>40</v>
      </c>
      <c r="AI23" s="60">
        <f t="shared" si="9"/>
        <v>6.25E-2</v>
      </c>
      <c r="AJ23" s="66">
        <f t="shared" si="10"/>
        <v>14.625</v>
      </c>
      <c r="AK23" s="66">
        <f t="shared" si="11"/>
        <v>8.7750000000000004</v>
      </c>
      <c r="AL23" s="66">
        <f t="shared" si="12"/>
        <v>5.2649999999999997</v>
      </c>
      <c r="AN23" t="s">
        <v>126</v>
      </c>
    </row>
    <row r="24" spans="1:45" ht="30" x14ac:dyDescent="0.35">
      <c r="A24" s="12"/>
      <c r="B24" s="12"/>
      <c r="O24" s="40" t="s">
        <v>79</v>
      </c>
      <c r="P24" s="41">
        <f>S7/$R$7</f>
        <v>1</v>
      </c>
      <c r="Q24" s="41">
        <f>T7/$R$7</f>
        <v>1</v>
      </c>
      <c r="R24" s="41">
        <f>U7/$R$7</f>
        <v>0.58000000000000007</v>
      </c>
      <c r="S24" s="41">
        <f>V7/$R$7</f>
        <v>0.58000000000000007</v>
      </c>
      <c r="T24" s="41">
        <f>W7/$R$7</f>
        <v>0.41000000000000003</v>
      </c>
      <c r="AG24" s="63" t="s">
        <v>99</v>
      </c>
      <c r="AH24" s="65">
        <v>45</v>
      </c>
      <c r="AI24" s="60">
        <f t="shared" si="9"/>
        <v>4.4194173824159223E-2</v>
      </c>
      <c r="AJ24" s="66">
        <f t="shared" si="10"/>
        <v>10.341436674853258</v>
      </c>
      <c r="AK24" s="66">
        <f t="shared" si="11"/>
        <v>6.2048620049119556</v>
      </c>
      <c r="AL24" s="66">
        <f t="shared" si="12"/>
        <v>3.7229172029471727</v>
      </c>
    </row>
    <row r="25" spans="1:45" ht="15.5" x14ac:dyDescent="0.35">
      <c r="AG25" s="63" t="s">
        <v>100</v>
      </c>
      <c r="AH25" s="65">
        <v>50</v>
      </c>
      <c r="AI25" s="60">
        <f t="shared" si="9"/>
        <v>3.125E-2</v>
      </c>
      <c r="AJ25" s="66">
        <f t="shared" si="10"/>
        <v>7.3125</v>
      </c>
      <c r="AK25" s="66">
        <f t="shared" si="11"/>
        <v>4.3875000000000002</v>
      </c>
      <c r="AL25" s="66">
        <f t="shared" si="12"/>
        <v>2.6324999999999998</v>
      </c>
    </row>
    <row r="26" spans="1:45" ht="15.5" x14ac:dyDescent="0.35">
      <c r="L26" s="14"/>
      <c r="AG26" s="60"/>
      <c r="AH26" s="65"/>
      <c r="AI26" s="60"/>
      <c r="AJ26" s="67"/>
      <c r="AK26" s="67"/>
      <c r="AL26" s="67"/>
    </row>
    <row r="27" spans="1:45" ht="15.5" x14ac:dyDescent="0.35">
      <c r="AG27" s="60"/>
      <c r="AH27" s="65"/>
      <c r="AI27" s="60"/>
      <c r="AJ27" s="68"/>
      <c r="AK27" s="68"/>
      <c r="AL27" s="68"/>
    </row>
    <row r="28" spans="1:45" ht="15.5" x14ac:dyDescent="0.35">
      <c r="AG28" s="60"/>
      <c r="AH28" s="65"/>
      <c r="AI28" s="60"/>
      <c r="AJ28" s="60"/>
      <c r="AK28" s="60"/>
      <c r="AL28" s="60"/>
    </row>
    <row r="29" spans="1:45" x14ac:dyDescent="0.35">
      <c r="AG29" s="60"/>
      <c r="AH29" s="60"/>
      <c r="AI29" s="60"/>
      <c r="AJ29" s="60"/>
      <c r="AK29" s="60"/>
      <c r="AL29" s="60"/>
    </row>
    <row r="30" spans="1:45" x14ac:dyDescent="0.35">
      <c r="AG30" s="69" t="s">
        <v>1</v>
      </c>
      <c r="AH30" s="60"/>
      <c r="AI30" s="60"/>
      <c r="AJ30" s="78" t="s">
        <v>106</v>
      </c>
      <c r="AK30" s="78"/>
      <c r="AL30" s="78"/>
    </row>
    <row r="31" spans="1:45" ht="29" x14ac:dyDescent="0.35">
      <c r="A31" s="53" t="s">
        <v>107</v>
      </c>
      <c r="B31">
        <f>16661041/2656744</f>
        <v>6.2712256054779836</v>
      </c>
      <c r="C31">
        <f>17593051/2763571</f>
        <v>6.3660571774707435</v>
      </c>
      <c r="P31" s="13" t="s">
        <v>41</v>
      </c>
      <c r="S31" t="s">
        <v>42</v>
      </c>
      <c r="U31" s="30"/>
      <c r="V31" s="30"/>
      <c r="W31" s="30"/>
      <c r="X31" s="30"/>
      <c r="Y31" s="30"/>
      <c r="Z31" s="12"/>
      <c r="AA31" s="12"/>
      <c r="AB31" s="12"/>
      <c r="AC31" s="12"/>
      <c r="AD31" s="12"/>
      <c r="AE31" s="12"/>
      <c r="AF31" s="30"/>
      <c r="AG31" s="69" t="s">
        <v>4</v>
      </c>
      <c r="AH31" s="60"/>
      <c r="AI31" s="62" t="s">
        <v>102</v>
      </c>
      <c r="AJ31" s="62" t="s">
        <v>103</v>
      </c>
      <c r="AK31" s="62" t="s">
        <v>104</v>
      </c>
      <c r="AL31" s="62" t="s">
        <v>105</v>
      </c>
    </row>
    <row r="32" spans="1:45" ht="15.5" x14ac:dyDescent="0.35"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G32" s="63" t="s">
        <v>74</v>
      </c>
      <c r="AH32" s="60"/>
      <c r="AI32" s="60"/>
      <c r="AJ32" s="64">
        <v>0</v>
      </c>
      <c r="AK32" s="64">
        <v>0</v>
      </c>
      <c r="AL32" s="64">
        <v>0</v>
      </c>
    </row>
    <row r="33" spans="1:38" ht="15.5" x14ac:dyDescent="0.35">
      <c r="O33" s="33"/>
      <c r="P33" s="34">
        <v>1990</v>
      </c>
      <c r="Q33" s="34">
        <v>1991</v>
      </c>
      <c r="R33" s="34">
        <v>1992</v>
      </c>
      <c r="S33" s="34">
        <v>1993</v>
      </c>
      <c r="T33" s="34">
        <v>1994</v>
      </c>
      <c r="U33" s="34">
        <v>1995</v>
      </c>
      <c r="V33" s="34">
        <v>1996</v>
      </c>
      <c r="W33" s="34">
        <v>1997</v>
      </c>
      <c r="X33" s="34">
        <v>1998</v>
      </c>
      <c r="Y33" s="34">
        <v>1999</v>
      </c>
      <c r="Z33" s="34">
        <v>2000</v>
      </c>
      <c r="AA33" s="34">
        <v>2001</v>
      </c>
      <c r="AB33" s="34">
        <v>2002</v>
      </c>
      <c r="AC33" s="34">
        <v>2003</v>
      </c>
      <c r="AD33" s="34">
        <v>2004</v>
      </c>
      <c r="AE33" s="34">
        <v>2005</v>
      </c>
      <c r="AG33" s="63" t="s">
        <v>72</v>
      </c>
      <c r="AH33" s="60"/>
      <c r="AI33" s="60"/>
      <c r="AJ33" s="64">
        <v>0</v>
      </c>
      <c r="AK33" s="64">
        <v>0</v>
      </c>
      <c r="AL33" s="64">
        <v>0</v>
      </c>
    </row>
    <row r="34" spans="1:38" ht="15.5" x14ac:dyDescent="0.35">
      <c r="O34" s="35" t="s">
        <v>74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7">
        <v>0</v>
      </c>
      <c r="AB34" s="57">
        <v>0</v>
      </c>
      <c r="AC34" s="57">
        <v>0</v>
      </c>
      <c r="AD34" s="57">
        <v>0</v>
      </c>
      <c r="AE34" s="57">
        <v>0</v>
      </c>
      <c r="AG34" s="63" t="s">
        <v>87</v>
      </c>
      <c r="AH34" s="60"/>
      <c r="AI34" s="60">
        <v>0.05</v>
      </c>
      <c r="AJ34" s="64">
        <f>AI34*$AJ$36</f>
        <v>11.700000000000001</v>
      </c>
      <c r="AK34" s="64">
        <f>AK36*AI34</f>
        <v>7.0200000000000005</v>
      </c>
      <c r="AL34" s="64">
        <f>AL36*AI34</f>
        <v>4.2119999999999997</v>
      </c>
    </row>
    <row r="35" spans="1:38" ht="15.5" x14ac:dyDescent="0.35">
      <c r="A35" t="s">
        <v>108</v>
      </c>
      <c r="B35" t="s">
        <v>0</v>
      </c>
      <c r="C35" t="s">
        <v>1</v>
      </c>
      <c r="O35" s="35" t="s">
        <v>72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>
        <v>0</v>
      </c>
      <c r="AG35" s="63" t="s">
        <v>88</v>
      </c>
      <c r="AH35" s="60"/>
      <c r="AI35" s="60">
        <v>0.7</v>
      </c>
      <c r="AJ35" s="64">
        <f>AI35*$AJ$36</f>
        <v>163.79999999999998</v>
      </c>
      <c r="AK35" s="64">
        <f>AI35*AK36</f>
        <v>98.28</v>
      </c>
      <c r="AL35" s="64">
        <f>AL36*AI35</f>
        <v>58.967999999999989</v>
      </c>
    </row>
    <row r="36" spans="1:38" ht="16" thickBot="1" x14ac:dyDescent="0.4">
      <c r="A36" s="6" t="s">
        <v>15</v>
      </c>
      <c r="B36" s="23">
        <f t="array" ref="B36:B51">-1*B2:B18</f>
        <v>-418189</v>
      </c>
      <c r="C36" s="23">
        <v>417311</v>
      </c>
      <c r="O36" s="35" t="s">
        <v>73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G36" s="63" t="s">
        <v>89</v>
      </c>
      <c r="AH36" s="65">
        <v>1</v>
      </c>
      <c r="AI36" s="60"/>
      <c r="AJ36" s="64">
        <v>234</v>
      </c>
      <c r="AK36" s="64">
        <v>140.4</v>
      </c>
      <c r="AL36" s="64">
        <v>84.24</v>
      </c>
    </row>
    <row r="37" spans="1:38" ht="16" thickBot="1" x14ac:dyDescent="0.4">
      <c r="A37" s="6" t="s">
        <v>22</v>
      </c>
      <c r="B37" s="23">
        <v>-361938</v>
      </c>
      <c r="C37" s="23">
        <v>361594</v>
      </c>
      <c r="O37" s="36" t="s">
        <v>28</v>
      </c>
      <c r="P37" s="58">
        <v>8.3000000000000004E-2</v>
      </c>
      <c r="Q37" s="58">
        <v>8.7999999999999995E-2</v>
      </c>
      <c r="R37" s="58">
        <v>0.10100000000000001</v>
      </c>
      <c r="S37" s="58">
        <v>9.0999999999999998E-2</v>
      </c>
      <c r="T37" s="58">
        <v>9.0999999999999998E-2</v>
      </c>
      <c r="U37" s="58">
        <v>0.10199999999999999</v>
      </c>
      <c r="V37" s="58">
        <v>8.5000000000000006E-2</v>
      </c>
      <c r="W37" s="58">
        <v>9.1999999999999998E-2</v>
      </c>
      <c r="X37" s="58">
        <v>0.09</v>
      </c>
      <c r="Y37" s="58">
        <v>8.4000000000000005E-2</v>
      </c>
      <c r="Z37" s="58">
        <v>8.2000000000000003E-2</v>
      </c>
      <c r="AA37" s="58">
        <v>8.7999999999999995E-2</v>
      </c>
      <c r="AB37" s="58">
        <v>8.3000000000000004E-2</v>
      </c>
      <c r="AC37" s="58">
        <v>7.5999999999999998E-2</v>
      </c>
      <c r="AD37" s="58">
        <v>7.4999999999999997E-2</v>
      </c>
      <c r="AE37" s="58">
        <v>7.2999999999999995E-2</v>
      </c>
      <c r="AG37" s="63" t="s">
        <v>90</v>
      </c>
      <c r="AH37" s="65">
        <v>5</v>
      </c>
      <c r="AI37" s="60">
        <f t="shared" ref="AI37:AI47" si="13">EXP(LN(0.5)*AH37/10)</f>
        <v>0.70710678118654757</v>
      </c>
      <c r="AJ37" s="64">
        <f>$AJ$36*AI37</f>
        <v>165.46298679765212</v>
      </c>
      <c r="AK37" s="64">
        <f>$AK$36*AI37</f>
        <v>99.27779207859129</v>
      </c>
      <c r="AL37" s="64">
        <v>59.566675247154762</v>
      </c>
    </row>
    <row r="38" spans="1:38" ht="16" thickBot="1" x14ac:dyDescent="0.4">
      <c r="A38" s="6" t="s">
        <v>25</v>
      </c>
      <c r="B38" s="23">
        <v>-327171</v>
      </c>
      <c r="C38" s="23">
        <v>329333</v>
      </c>
      <c r="O38" s="28" t="s">
        <v>30</v>
      </c>
      <c r="P38" s="58">
        <v>0.191</v>
      </c>
      <c r="Q38" s="58">
        <v>0.19</v>
      </c>
      <c r="R38" s="58">
        <v>0.186</v>
      </c>
      <c r="S38" s="58">
        <v>0.17599999999999999</v>
      </c>
      <c r="T38" s="58">
        <v>0.158</v>
      </c>
      <c r="U38" s="58">
        <v>0.14299999999999999</v>
      </c>
      <c r="V38" s="58">
        <v>0.14699999999999999</v>
      </c>
      <c r="W38" s="58">
        <v>0.16600000000000001</v>
      </c>
      <c r="X38" s="58">
        <v>0.14199999999999999</v>
      </c>
      <c r="Y38" s="58">
        <v>0.154</v>
      </c>
      <c r="Z38" s="58">
        <v>0.13700000000000001</v>
      </c>
      <c r="AA38" s="58">
        <v>0.13400000000000001</v>
      </c>
      <c r="AB38" s="58">
        <v>0.14499999999999999</v>
      </c>
      <c r="AC38" s="58">
        <v>0.14799999999999999</v>
      </c>
      <c r="AD38" s="58">
        <v>0.14699999999999999</v>
      </c>
      <c r="AE38" s="58">
        <v>0.152</v>
      </c>
      <c r="AG38" s="63" t="s">
        <v>91</v>
      </c>
      <c r="AH38" s="65">
        <v>10</v>
      </c>
      <c r="AI38" s="60">
        <f t="shared" si="13"/>
        <v>0.5</v>
      </c>
      <c r="AJ38" s="64">
        <f>$AJ$36*AI38</f>
        <v>117</v>
      </c>
      <c r="AK38" s="64">
        <f>$AK$36*AI38</f>
        <v>70.2</v>
      </c>
      <c r="AL38" s="64">
        <v>42.12</v>
      </c>
    </row>
    <row r="39" spans="1:38" ht="16" thickBot="1" x14ac:dyDescent="0.4">
      <c r="A39" s="6" t="s">
        <v>28</v>
      </c>
      <c r="B39" s="23">
        <v>-289627</v>
      </c>
      <c r="C39" s="23">
        <v>296947</v>
      </c>
      <c r="O39" s="28" t="s">
        <v>31</v>
      </c>
      <c r="P39" s="58">
        <v>0.19700000000000001</v>
      </c>
      <c r="Q39" s="58">
        <v>0.20499999999999999</v>
      </c>
      <c r="R39" s="58">
        <v>0.20100000000000001</v>
      </c>
      <c r="S39" s="58">
        <v>0.185</v>
      </c>
      <c r="T39" s="58">
        <v>0.184</v>
      </c>
      <c r="U39" s="58">
        <v>0.17899999999999999</v>
      </c>
      <c r="V39" s="58">
        <v>0.161</v>
      </c>
      <c r="W39" s="58">
        <v>0.17199999999999999</v>
      </c>
      <c r="X39" s="58">
        <v>0.13300000000000001</v>
      </c>
      <c r="Y39" s="58">
        <v>0.14399999999999999</v>
      </c>
      <c r="Z39" s="58">
        <v>0.13300000000000001</v>
      </c>
      <c r="AA39" s="58">
        <v>0.13</v>
      </c>
      <c r="AB39" s="58">
        <v>0.13500000000000001</v>
      </c>
      <c r="AC39" s="58">
        <v>0.13100000000000001</v>
      </c>
      <c r="AD39" s="58">
        <v>0.126</v>
      </c>
      <c r="AE39" s="58">
        <v>0.11700000000000001</v>
      </c>
      <c r="AG39" s="63" t="s">
        <v>92</v>
      </c>
      <c r="AH39" s="65">
        <v>15</v>
      </c>
      <c r="AI39" s="60">
        <f t="shared" si="13"/>
        <v>0.35355339059327379</v>
      </c>
      <c r="AJ39" s="64">
        <f>$AJ$36*AI39*0.7</f>
        <v>57.912045379178238</v>
      </c>
      <c r="AK39" s="64">
        <f>$AK$36*AI39*0.7</f>
        <v>34.747227227506947</v>
      </c>
      <c r="AL39" s="64">
        <v>20.848336336504165</v>
      </c>
    </row>
    <row r="40" spans="1:38" ht="16" thickBot="1" x14ac:dyDescent="0.4">
      <c r="A40" s="6" t="s">
        <v>30</v>
      </c>
      <c r="B40" s="23">
        <v>-262704</v>
      </c>
      <c r="C40" s="23">
        <v>273204</v>
      </c>
      <c r="O40" s="28" t="s">
        <v>34</v>
      </c>
      <c r="P40" s="58">
        <v>0.219</v>
      </c>
      <c r="Q40" s="58">
        <v>0.192</v>
      </c>
      <c r="R40" s="58">
        <v>0.17499999999999999</v>
      </c>
      <c r="S40" s="58">
        <v>0.18099999999999999</v>
      </c>
      <c r="T40" s="58">
        <v>0.17199999999999999</v>
      </c>
      <c r="U40" s="58">
        <v>0.16400000000000001</v>
      </c>
      <c r="V40" s="58">
        <v>0.161</v>
      </c>
      <c r="W40" s="58">
        <v>0.159</v>
      </c>
      <c r="X40" s="58">
        <v>0.13900000000000001</v>
      </c>
      <c r="Y40" s="58">
        <v>0.14499999999999999</v>
      </c>
      <c r="Z40" s="58">
        <v>0.12</v>
      </c>
      <c r="AA40" s="58">
        <v>0.12</v>
      </c>
      <c r="AB40" s="58">
        <v>0.105</v>
      </c>
      <c r="AC40" s="58">
        <v>0.125</v>
      </c>
      <c r="AD40" s="58">
        <v>0.108</v>
      </c>
      <c r="AE40" s="58">
        <v>0.10199999999999999</v>
      </c>
      <c r="AG40" s="63" t="s">
        <v>93</v>
      </c>
      <c r="AH40" s="65">
        <v>20</v>
      </c>
      <c r="AI40" s="60">
        <f t="shared" si="13"/>
        <v>0.25</v>
      </c>
      <c r="AJ40" s="64">
        <f>$AJ$36*AI40*0.7</f>
        <v>40.949999999999996</v>
      </c>
      <c r="AK40" s="64">
        <f>$AK$36*AI40*0.7</f>
        <v>24.57</v>
      </c>
      <c r="AL40" s="64">
        <v>14.741999999999997</v>
      </c>
    </row>
    <row r="41" spans="1:38" ht="16" thickBot="1" x14ac:dyDescent="0.4">
      <c r="A41" s="6" t="s">
        <v>31</v>
      </c>
      <c r="B41" s="23">
        <v>-235673</v>
      </c>
      <c r="C41" s="23">
        <v>249396</v>
      </c>
      <c r="O41" s="28" t="s">
        <v>33</v>
      </c>
      <c r="P41" s="58">
        <v>0.13400000000000001</v>
      </c>
      <c r="Q41" s="58">
        <v>0.13200000000000001</v>
      </c>
      <c r="R41" s="58">
        <v>0.13700000000000001</v>
      </c>
      <c r="S41" s="58">
        <v>0.127</v>
      </c>
      <c r="T41" s="58">
        <v>0.114</v>
      </c>
      <c r="U41" s="58">
        <v>0.1</v>
      </c>
      <c r="V41" s="58">
        <v>0.112</v>
      </c>
      <c r="W41" s="58">
        <v>0.115</v>
      </c>
      <c r="X41" s="58">
        <v>0.105</v>
      </c>
      <c r="Y41" s="58">
        <v>0.09</v>
      </c>
      <c r="Z41" s="58">
        <v>7.9000000000000001E-2</v>
      </c>
      <c r="AA41" s="58">
        <v>0.09</v>
      </c>
      <c r="AB41" s="58">
        <v>8.1000000000000003E-2</v>
      </c>
      <c r="AC41" s="58">
        <v>6.7000000000000004E-2</v>
      </c>
      <c r="AD41" s="58">
        <v>9.1999999999999998E-2</v>
      </c>
      <c r="AE41" s="58">
        <v>7.6999999999999999E-2</v>
      </c>
      <c r="AG41" s="63" t="s">
        <v>94</v>
      </c>
      <c r="AH41" s="65">
        <v>25</v>
      </c>
      <c r="AI41" s="60">
        <f t="shared" si="13"/>
        <v>0.17677669529663689</v>
      </c>
      <c r="AJ41" s="64">
        <f>$AJ$36*AI41*0.5</f>
        <v>20.682873349706515</v>
      </c>
      <c r="AK41" s="64">
        <f>$AK$36*AI41*0.5</f>
        <v>12.409724009823911</v>
      </c>
      <c r="AL41" s="64">
        <v>7.4458344058943453</v>
      </c>
    </row>
    <row r="42" spans="1:38" ht="16" thickBot="1" x14ac:dyDescent="0.4">
      <c r="A42" s="6" t="s">
        <v>32</v>
      </c>
      <c r="B42" s="23">
        <v>-197816</v>
      </c>
      <c r="C42" s="23">
        <v>211839</v>
      </c>
      <c r="O42" s="28" t="s">
        <v>35</v>
      </c>
      <c r="P42" s="58">
        <v>5.3999999999999999E-2</v>
      </c>
      <c r="Q42" s="58">
        <v>5.3999999999999999E-2</v>
      </c>
      <c r="R42" s="58">
        <v>5.3999999999999999E-2</v>
      </c>
      <c r="S42" s="58">
        <v>5.3999999999999999E-2</v>
      </c>
      <c r="T42" s="58">
        <v>5.2999999999999999E-2</v>
      </c>
      <c r="U42" s="58">
        <v>0.05</v>
      </c>
      <c r="V42" s="58">
        <v>5.8999999999999997E-2</v>
      </c>
      <c r="W42" s="58">
        <v>5.7000000000000002E-2</v>
      </c>
      <c r="X42" s="58">
        <v>4.1000000000000002E-2</v>
      </c>
      <c r="Y42" s="58">
        <v>4.1000000000000002E-2</v>
      </c>
      <c r="Z42" s="58">
        <v>3.3000000000000002E-2</v>
      </c>
      <c r="AA42" s="58">
        <v>3.5000000000000003E-2</v>
      </c>
      <c r="AB42" s="58">
        <v>2.8000000000000001E-2</v>
      </c>
      <c r="AC42" s="58">
        <v>2.5999999999999999E-2</v>
      </c>
      <c r="AD42" s="58">
        <v>3.1E-2</v>
      </c>
      <c r="AE42" s="58">
        <v>3.4000000000000002E-2</v>
      </c>
      <c r="AG42" s="63" t="s">
        <v>95</v>
      </c>
      <c r="AH42" s="65">
        <v>30</v>
      </c>
      <c r="AI42" s="60">
        <f t="shared" si="13"/>
        <v>0.12500000000000003</v>
      </c>
      <c r="AJ42" s="64">
        <f t="shared" ref="AJ42:AJ47" si="14">$AJ$36*AI42</f>
        <v>29.250000000000007</v>
      </c>
      <c r="AK42" s="64">
        <f t="shared" ref="AK42:AK47" si="15">$AK$36*AI42</f>
        <v>17.550000000000004</v>
      </c>
      <c r="AL42" s="64">
        <v>10.530000000000001</v>
      </c>
    </row>
    <row r="43" spans="1:38" ht="16" thickBot="1" x14ac:dyDescent="0.4">
      <c r="A43" s="6" t="s">
        <v>33</v>
      </c>
      <c r="B43" s="23">
        <v>-160952</v>
      </c>
      <c r="C43" s="23">
        <v>176470</v>
      </c>
      <c r="O43" s="28" t="s">
        <v>36</v>
      </c>
      <c r="P43" s="58">
        <v>0.01</v>
      </c>
      <c r="Q43" s="58">
        <v>0.01</v>
      </c>
      <c r="R43" s="58">
        <v>0.01</v>
      </c>
      <c r="S43" s="58">
        <v>0.01</v>
      </c>
      <c r="T43" s="58">
        <v>0.01</v>
      </c>
      <c r="U43" s="58">
        <v>0.01</v>
      </c>
      <c r="V43" s="58">
        <v>7.0000000000000001E-3</v>
      </c>
      <c r="W43" s="58">
        <v>0.01</v>
      </c>
      <c r="X43" s="58">
        <v>1.0999999999999999E-2</v>
      </c>
      <c r="Y43" s="58">
        <v>8.9999999999999993E-3</v>
      </c>
      <c r="Z43" s="58">
        <v>1.2E-2</v>
      </c>
      <c r="AA43" s="58">
        <v>4.0000000000000001E-3</v>
      </c>
      <c r="AB43" s="58">
        <v>5.0000000000000001E-3</v>
      </c>
      <c r="AC43" s="58">
        <v>2E-3</v>
      </c>
      <c r="AD43" s="58">
        <v>3.0000000000000001E-3</v>
      </c>
      <c r="AE43" s="58">
        <v>2E-3</v>
      </c>
      <c r="AG43" s="63" t="s">
        <v>96</v>
      </c>
      <c r="AH43" s="65">
        <v>35</v>
      </c>
      <c r="AI43" s="60">
        <f t="shared" si="13"/>
        <v>8.8388347648318447E-2</v>
      </c>
      <c r="AJ43" s="64">
        <f t="shared" si="14"/>
        <v>20.682873349706515</v>
      </c>
      <c r="AK43" s="64">
        <f t="shared" si="15"/>
        <v>12.409724009823911</v>
      </c>
      <c r="AL43" s="64">
        <v>7.4458344058943453</v>
      </c>
    </row>
    <row r="44" spans="1:38" ht="16" thickBot="1" x14ac:dyDescent="0.4">
      <c r="A44" s="6" t="s">
        <v>35</v>
      </c>
      <c r="B44" s="23">
        <v>-132311</v>
      </c>
      <c r="C44" s="23">
        <v>143351</v>
      </c>
      <c r="O44" s="37" t="s">
        <v>75</v>
      </c>
      <c r="P44" s="59">
        <v>1.711E-2</v>
      </c>
      <c r="Q44" s="59">
        <v>1.711E-2</v>
      </c>
      <c r="R44" s="59">
        <v>1.711E-2</v>
      </c>
      <c r="S44" s="59">
        <v>1.711E-2</v>
      </c>
      <c r="T44" s="59">
        <v>1.711E-2</v>
      </c>
      <c r="U44" s="59">
        <v>1.711E-2</v>
      </c>
      <c r="V44" s="59">
        <v>1.711E-2</v>
      </c>
      <c r="W44" s="59">
        <v>1.711E-2</v>
      </c>
      <c r="X44" s="59">
        <v>1.711E-2</v>
      </c>
      <c r="Y44" s="59">
        <v>1.711E-2</v>
      </c>
      <c r="Z44" s="59">
        <v>1.711E-2</v>
      </c>
      <c r="AA44" s="59">
        <v>1.711E-2</v>
      </c>
      <c r="AB44" s="59">
        <v>1.711E-2</v>
      </c>
      <c r="AC44" s="59">
        <v>1.711E-2</v>
      </c>
      <c r="AD44" s="59">
        <v>1.711E-2</v>
      </c>
      <c r="AE44" s="59">
        <v>1.711E-2</v>
      </c>
      <c r="AG44" s="63" t="s">
        <v>97</v>
      </c>
      <c r="AH44" s="65">
        <v>40</v>
      </c>
      <c r="AI44" s="60">
        <f t="shared" si="13"/>
        <v>6.25E-2</v>
      </c>
      <c r="AJ44" s="64">
        <f t="shared" si="14"/>
        <v>14.625</v>
      </c>
      <c r="AK44" s="64">
        <f t="shared" si="15"/>
        <v>8.7750000000000004</v>
      </c>
      <c r="AL44" s="64">
        <v>5.2649999999999997</v>
      </c>
    </row>
    <row r="45" spans="1:38" ht="16" thickBot="1" x14ac:dyDescent="0.4">
      <c r="A45" s="6" t="s">
        <v>36</v>
      </c>
      <c r="B45" s="23">
        <v>-110849</v>
      </c>
      <c r="C45" s="23">
        <v>123441</v>
      </c>
      <c r="O45" s="37" t="s">
        <v>76</v>
      </c>
      <c r="P45" s="59">
        <v>2.0809999999999999E-2</v>
      </c>
      <c r="Q45" s="59">
        <v>2.0809999999999999E-2</v>
      </c>
      <c r="R45" s="59">
        <v>2.0809999999999999E-2</v>
      </c>
      <c r="S45" s="59">
        <v>2.0809999999999999E-2</v>
      </c>
      <c r="T45" s="59">
        <v>2.0809999999999999E-2</v>
      </c>
      <c r="U45" s="59">
        <v>2.0809999999999999E-2</v>
      </c>
      <c r="V45" s="59">
        <v>2.0809999999999999E-2</v>
      </c>
      <c r="W45" s="59">
        <v>2.0809999999999999E-2</v>
      </c>
      <c r="X45" s="59">
        <v>2.0809999999999999E-2</v>
      </c>
      <c r="Y45" s="59">
        <v>2.0809999999999999E-2</v>
      </c>
      <c r="Z45" s="59">
        <v>2.0809999999999999E-2</v>
      </c>
      <c r="AA45" s="59">
        <v>2.0809999999999999E-2</v>
      </c>
      <c r="AB45" s="59">
        <v>2.0809999999999999E-2</v>
      </c>
      <c r="AC45" s="59">
        <v>2.0809999999999999E-2</v>
      </c>
      <c r="AD45" s="59">
        <v>2.0809999999999999E-2</v>
      </c>
      <c r="AE45" s="59">
        <v>2.0809999999999999E-2</v>
      </c>
      <c r="AG45" s="63" t="s">
        <v>98</v>
      </c>
      <c r="AH45" s="65">
        <v>45</v>
      </c>
      <c r="AI45" s="60">
        <f t="shared" si="13"/>
        <v>4.4194173824159223E-2</v>
      </c>
      <c r="AJ45" s="64">
        <f t="shared" si="14"/>
        <v>10.341436674853258</v>
      </c>
      <c r="AK45" s="64">
        <f t="shared" si="15"/>
        <v>6.2048620049119556</v>
      </c>
      <c r="AL45" s="64">
        <v>3.7229172029471727</v>
      </c>
    </row>
    <row r="46" spans="1:38" ht="16" thickBot="1" x14ac:dyDescent="0.4">
      <c r="A46" s="6" t="s">
        <v>37</v>
      </c>
      <c r="B46" s="23">
        <v>-89027</v>
      </c>
      <c r="C46" s="23">
        <v>98355</v>
      </c>
      <c r="O46" s="38" t="s">
        <v>71</v>
      </c>
      <c r="P46" s="34">
        <v>4.4000000000000004</v>
      </c>
      <c r="Q46" s="34">
        <v>4.4000000000000004</v>
      </c>
      <c r="R46" s="34">
        <v>4.3</v>
      </c>
      <c r="S46" s="34">
        <v>4.0999999999999996</v>
      </c>
      <c r="T46" s="34">
        <v>3.9</v>
      </c>
      <c r="U46" s="34">
        <v>3.7</v>
      </c>
      <c r="V46" s="34">
        <v>3.7</v>
      </c>
      <c r="W46" s="34">
        <v>3.9</v>
      </c>
      <c r="X46" s="34">
        <v>3.3</v>
      </c>
      <c r="Y46" s="34">
        <v>3.3</v>
      </c>
      <c r="Z46" s="34">
        <v>3</v>
      </c>
      <c r="AA46" s="34">
        <v>3</v>
      </c>
      <c r="AB46" s="34">
        <v>2.9</v>
      </c>
      <c r="AC46" s="34">
        <v>2.9</v>
      </c>
      <c r="AD46" s="34">
        <v>2.9</v>
      </c>
      <c r="AE46" s="34">
        <v>2.8</v>
      </c>
      <c r="AG46" s="63" t="s">
        <v>99</v>
      </c>
      <c r="AH46" s="65">
        <v>50</v>
      </c>
      <c r="AI46" s="60">
        <f t="shared" si="13"/>
        <v>3.125E-2</v>
      </c>
      <c r="AJ46" s="64">
        <f t="shared" si="14"/>
        <v>7.3125</v>
      </c>
      <c r="AK46" s="64">
        <f t="shared" si="15"/>
        <v>4.3875000000000002</v>
      </c>
      <c r="AL46" s="64">
        <v>2.6324999999999998</v>
      </c>
    </row>
    <row r="47" spans="1:38" ht="15.5" x14ac:dyDescent="0.35">
      <c r="A47" s="49" t="s">
        <v>38</v>
      </c>
      <c r="B47" s="50">
        <v>-70487</v>
      </c>
      <c r="C47" s="50">
        <v>82330</v>
      </c>
      <c r="P47" s="30"/>
      <c r="Q47" s="31"/>
      <c r="R47" s="31"/>
      <c r="S47" s="31"/>
      <c r="T47" s="31"/>
      <c r="U47" s="31"/>
      <c r="V47" s="31"/>
      <c r="W47" s="31"/>
      <c r="X47" s="31"/>
      <c r="Y47" s="31"/>
      <c r="Z47" s="30"/>
      <c r="AG47" s="63" t="s">
        <v>100</v>
      </c>
      <c r="AH47" s="65">
        <v>55</v>
      </c>
      <c r="AI47" s="60">
        <f t="shared" si="13"/>
        <v>2.2097086912079619E-2</v>
      </c>
      <c r="AJ47" s="64">
        <f t="shared" si="14"/>
        <v>5.1707183374266306</v>
      </c>
      <c r="AK47" s="64">
        <f t="shared" si="15"/>
        <v>3.1024310024559787</v>
      </c>
      <c r="AL47" s="64">
        <v>1.861458601473587</v>
      </c>
    </row>
    <row r="48" spans="1:38" ht="77.5" x14ac:dyDescent="0.35">
      <c r="A48" s="47" t="s">
        <v>97</v>
      </c>
      <c r="B48" s="51">
        <v>-50094.736842105267</v>
      </c>
      <c r="C48" s="51">
        <f>366793/6.36</f>
        <v>57671.85534591195</v>
      </c>
      <c r="O48" s="12" t="s">
        <v>77</v>
      </c>
    </row>
    <row r="49" spans="1:17" x14ac:dyDescent="0.35">
      <c r="A49" s="47" t="s">
        <v>98</v>
      </c>
      <c r="B49" s="51">
        <v>-35803.827751196171</v>
      </c>
      <c r="C49" s="51">
        <f>282911/6.36</f>
        <v>44482.861635220121</v>
      </c>
    </row>
    <row r="50" spans="1:17" x14ac:dyDescent="0.35">
      <c r="A50" s="47" t="s">
        <v>99</v>
      </c>
      <c r="B50" s="51">
        <v>-24102.551834130783</v>
      </c>
      <c r="C50" s="51">
        <f>215469/6.36</f>
        <v>33878.773584905655</v>
      </c>
      <c r="O50" t="s">
        <v>78</v>
      </c>
    </row>
    <row r="51" spans="1:17" x14ac:dyDescent="0.35">
      <c r="A51" s="47" t="s">
        <v>100</v>
      </c>
      <c r="B51" s="51">
        <v>-14240.510366826158</v>
      </c>
      <c r="C51" s="51">
        <f>144901/6.36</f>
        <v>22783.176100628931</v>
      </c>
    </row>
    <row r="53" spans="1:17" ht="16" customHeight="1" x14ac:dyDescent="0.35">
      <c r="O53" s="29"/>
    </row>
    <row r="62" spans="1:17" x14ac:dyDescent="0.35">
      <c r="O62" t="s">
        <v>67</v>
      </c>
    </row>
    <row r="63" spans="1:17" x14ac:dyDescent="0.35">
      <c r="O63" t="s">
        <v>68</v>
      </c>
      <c r="Q63" t="s">
        <v>85</v>
      </c>
    </row>
    <row r="64" spans="1:17" x14ac:dyDescent="0.35">
      <c r="O64" t="s">
        <v>0</v>
      </c>
      <c r="P64">
        <v>0.5111</v>
      </c>
      <c r="Q64">
        <v>0.23480000000000001</v>
      </c>
    </row>
    <row r="65" spans="15:17" x14ac:dyDescent="0.35">
      <c r="O65" t="s">
        <v>1</v>
      </c>
      <c r="P65">
        <v>0.42659999999999998</v>
      </c>
      <c r="Q65">
        <v>0.21460000000000001</v>
      </c>
    </row>
    <row r="69" spans="15:17" x14ac:dyDescent="0.35">
      <c r="O69">
        <f>NORMDIST(0.7, P64,Q64,TRUE)</f>
        <v>0.78945004503905036</v>
      </c>
    </row>
    <row r="106" spans="16:23" x14ac:dyDescent="0.35">
      <c r="P106" t="s">
        <v>127</v>
      </c>
    </row>
    <row r="107" spans="16:23" ht="16" thickBot="1" x14ac:dyDescent="0.4">
      <c r="P107" s="83">
        <v>9.1999999999999998E-3</v>
      </c>
      <c r="Q107" s="83">
        <v>9.1999999999999998E-3</v>
      </c>
      <c r="R107" s="83">
        <v>0</v>
      </c>
      <c r="S107" s="83">
        <v>0</v>
      </c>
      <c r="T107" s="83">
        <v>0</v>
      </c>
      <c r="U107" s="83">
        <v>0</v>
      </c>
      <c r="V107" s="83">
        <v>0</v>
      </c>
      <c r="W107" s="83">
        <v>0</v>
      </c>
    </row>
    <row r="108" spans="16:23" ht="16" thickBot="1" x14ac:dyDescent="0.4">
      <c r="P108" s="83">
        <v>5.2999999999999998E-4</v>
      </c>
      <c r="Q108" s="83">
        <v>4.0000000000000002E-4</v>
      </c>
      <c r="R108" s="83">
        <v>0</v>
      </c>
      <c r="S108" s="83">
        <v>0</v>
      </c>
      <c r="T108" s="83">
        <v>0</v>
      </c>
      <c r="U108" s="83">
        <v>0</v>
      </c>
      <c r="V108" s="83">
        <v>0</v>
      </c>
      <c r="W108" s="83">
        <v>0</v>
      </c>
    </row>
    <row r="109" spans="16:23" ht="16" thickBot="1" x14ac:dyDescent="0.4">
      <c r="P109" s="83">
        <v>5.5999999999999995E-4</v>
      </c>
      <c r="Q109" s="83">
        <v>4.2999999999999999E-4</v>
      </c>
      <c r="R109" s="83">
        <v>0</v>
      </c>
      <c r="S109" s="83">
        <v>0</v>
      </c>
      <c r="T109" s="83">
        <v>0</v>
      </c>
      <c r="U109" s="83">
        <v>0</v>
      </c>
      <c r="V109" s="83">
        <v>0</v>
      </c>
      <c r="W109" s="83">
        <v>0</v>
      </c>
    </row>
    <row r="110" spans="16:23" ht="16" thickBot="1" x14ac:dyDescent="0.4">
      <c r="P110" s="83">
        <v>1.83E-3</v>
      </c>
      <c r="Q110" s="83">
        <v>7.6000000000000004E-4</v>
      </c>
      <c r="R110" s="83">
        <v>0.17499999999999999</v>
      </c>
      <c r="S110" s="83">
        <v>0.17499999999999999</v>
      </c>
      <c r="T110" s="83">
        <v>0.17499999999999999</v>
      </c>
      <c r="U110" s="83">
        <v>7.8799999999999995E-2</v>
      </c>
      <c r="V110" s="83">
        <v>4.7300000000000002E-2</v>
      </c>
      <c r="W110" s="83">
        <v>3.32E-2</v>
      </c>
    </row>
    <row r="111" spans="16:23" ht="16" thickBot="1" x14ac:dyDescent="0.4">
      <c r="P111" s="83">
        <v>3.98E-3</v>
      </c>
      <c r="Q111" s="83">
        <v>1.2999999999999999E-3</v>
      </c>
      <c r="R111" s="83">
        <v>0.313</v>
      </c>
      <c r="S111" s="83">
        <v>0.313</v>
      </c>
      <c r="T111" s="83">
        <v>0.313</v>
      </c>
      <c r="U111" s="83">
        <v>0.1409</v>
      </c>
      <c r="V111" s="83">
        <v>8.4500000000000006E-2</v>
      </c>
      <c r="W111" s="83">
        <v>5.9499999999999997E-2</v>
      </c>
    </row>
    <row r="112" spans="16:23" ht="16" thickBot="1" x14ac:dyDescent="0.4">
      <c r="P112" s="83">
        <v>5.1399999999999996E-3</v>
      </c>
      <c r="Q112" s="83">
        <v>1.83E-3</v>
      </c>
      <c r="R112" s="83">
        <v>0.32400000000000001</v>
      </c>
      <c r="S112" s="83">
        <v>0.32400000000000001</v>
      </c>
      <c r="T112" s="83">
        <v>0.32400000000000001</v>
      </c>
      <c r="U112" s="83">
        <v>0.14580000000000001</v>
      </c>
      <c r="V112" s="83">
        <v>8.7499999999999994E-2</v>
      </c>
      <c r="W112" s="83">
        <v>6.1600000000000002E-2</v>
      </c>
    </row>
    <row r="113" spans="16:23" ht="16" thickBot="1" x14ac:dyDescent="0.4">
      <c r="P113" s="83">
        <v>6.0600000000000003E-3</v>
      </c>
      <c r="Q113" s="83">
        <v>2.5200000000000001E-3</v>
      </c>
      <c r="R113" s="83">
        <v>0.27100000000000002</v>
      </c>
      <c r="S113" s="83">
        <v>0.27100000000000002</v>
      </c>
      <c r="T113" s="83">
        <v>0.27100000000000002</v>
      </c>
      <c r="U113" s="83">
        <v>0.1221</v>
      </c>
      <c r="V113" s="83">
        <v>7.3200000000000001E-2</v>
      </c>
      <c r="W113" s="83">
        <v>5.1499999999999997E-2</v>
      </c>
    </row>
    <row r="114" spans="16:23" ht="16" thickBot="1" x14ac:dyDescent="0.4">
      <c r="P114" s="83">
        <v>7.1500000000000001E-3</v>
      </c>
      <c r="Q114" s="83">
        <v>3.15E-3</v>
      </c>
      <c r="R114" s="83">
        <v>0.20100000000000001</v>
      </c>
      <c r="S114" s="83">
        <v>0.20100000000000001</v>
      </c>
      <c r="T114" s="83">
        <v>0.20100000000000001</v>
      </c>
      <c r="U114" s="83">
        <v>9.0499999999999997E-2</v>
      </c>
      <c r="V114" s="83">
        <v>5.4300000000000001E-2</v>
      </c>
      <c r="W114" s="83">
        <v>3.8199999999999998E-2</v>
      </c>
    </row>
    <row r="115" spans="16:23" ht="16" thickBot="1" x14ac:dyDescent="0.4">
      <c r="P115" s="83">
        <v>9.5200000000000007E-3</v>
      </c>
      <c r="Q115" s="83">
        <v>4.4799999999999996E-3</v>
      </c>
      <c r="R115" s="83">
        <v>0.125</v>
      </c>
      <c r="S115" s="83">
        <v>0.125</v>
      </c>
      <c r="T115" s="83">
        <v>0.125</v>
      </c>
      <c r="U115" s="83">
        <v>5.6300000000000003E-2</v>
      </c>
      <c r="V115" s="83">
        <v>3.3799999999999997E-2</v>
      </c>
      <c r="W115" s="83">
        <v>2.3800000000000002E-2</v>
      </c>
    </row>
    <row r="116" spans="16:23" ht="16" thickBot="1" x14ac:dyDescent="0.4">
      <c r="P116" s="83">
        <v>1.1780000000000001E-2</v>
      </c>
      <c r="Q116" s="83">
        <v>5.7600000000000004E-3</v>
      </c>
      <c r="R116" s="83">
        <v>5.2999999999999999E-2</v>
      </c>
      <c r="S116" s="83">
        <v>5.2999999999999999E-2</v>
      </c>
      <c r="T116" s="83">
        <v>5.2999999999999999E-2</v>
      </c>
      <c r="U116" s="83">
        <v>2.3900000000000001E-2</v>
      </c>
      <c r="V116" s="83">
        <v>1.43E-2</v>
      </c>
      <c r="W116" s="83">
        <v>1.01E-2</v>
      </c>
    </row>
    <row r="117" spans="16:23" ht="16" thickBot="1" x14ac:dyDescent="0.4">
      <c r="P117" s="83">
        <v>1.711E-2</v>
      </c>
      <c r="Q117" s="83">
        <v>9.6399999999999993E-3</v>
      </c>
      <c r="R117" s="83">
        <v>0</v>
      </c>
      <c r="S117" s="83">
        <v>0</v>
      </c>
      <c r="T117" s="83">
        <v>0</v>
      </c>
      <c r="U117" s="83">
        <v>0</v>
      </c>
      <c r="V117" s="83">
        <v>0</v>
      </c>
      <c r="W117" s="83">
        <v>0</v>
      </c>
    </row>
    <row r="118" spans="16:23" ht="16" thickBot="1" x14ac:dyDescent="0.4">
      <c r="P118" s="83">
        <v>2.0809999999999999E-2</v>
      </c>
      <c r="Q118" s="83">
        <v>1.2930000000000001E-2</v>
      </c>
      <c r="R118" s="83">
        <v>0</v>
      </c>
      <c r="S118" s="83">
        <v>0</v>
      </c>
      <c r="T118" s="83">
        <v>0</v>
      </c>
      <c r="U118" s="83">
        <v>0</v>
      </c>
      <c r="V118" s="83">
        <v>0</v>
      </c>
      <c r="W118" s="83">
        <v>0</v>
      </c>
    </row>
    <row r="119" spans="16:23" ht="16" thickBot="1" x14ac:dyDescent="0.4">
      <c r="P119" s="84">
        <v>2.0809999999999999E-2</v>
      </c>
      <c r="Q119" s="84">
        <v>1.2930000000000001E-2</v>
      </c>
      <c r="R119" s="84">
        <v>0</v>
      </c>
      <c r="S119" s="84">
        <v>0</v>
      </c>
      <c r="T119" s="84">
        <v>0</v>
      </c>
      <c r="U119" s="84">
        <v>0</v>
      </c>
      <c r="V119" s="84">
        <v>0</v>
      </c>
      <c r="W119" s="84">
        <v>0</v>
      </c>
    </row>
    <row r="120" spans="16:23" ht="16" thickBot="1" x14ac:dyDescent="0.4">
      <c r="P120" s="84">
        <v>2.0809999999999999E-2</v>
      </c>
      <c r="Q120" s="84">
        <v>1.2930000000000001E-2</v>
      </c>
      <c r="R120" s="84">
        <v>0</v>
      </c>
      <c r="S120" s="84">
        <v>0</v>
      </c>
      <c r="T120" s="84">
        <v>0</v>
      </c>
      <c r="U120" s="84">
        <v>0</v>
      </c>
      <c r="V120" s="84">
        <v>0</v>
      </c>
      <c r="W120" s="84">
        <v>0</v>
      </c>
    </row>
    <row r="121" spans="16:23" ht="16" thickBot="1" x14ac:dyDescent="0.4">
      <c r="P121" s="84">
        <v>2.0809999999999999E-2</v>
      </c>
      <c r="Q121" s="84">
        <v>1.2930000000000001E-2</v>
      </c>
      <c r="R121" s="84">
        <v>0</v>
      </c>
      <c r="S121" s="84">
        <v>0</v>
      </c>
      <c r="T121" s="84">
        <v>0</v>
      </c>
      <c r="U121" s="84">
        <v>0</v>
      </c>
      <c r="V121" s="84">
        <v>0</v>
      </c>
      <c r="W121" s="84">
        <v>0</v>
      </c>
    </row>
    <row r="122" spans="16:23" ht="16" thickBot="1" x14ac:dyDescent="0.4">
      <c r="P122" s="84">
        <v>2.0809999999999999E-2</v>
      </c>
      <c r="Q122" s="84">
        <v>1.2930000000000001E-2</v>
      </c>
      <c r="R122" s="84">
        <v>0</v>
      </c>
      <c r="S122" s="84">
        <v>0</v>
      </c>
      <c r="T122" s="84">
        <v>0</v>
      </c>
      <c r="U122" s="84">
        <v>0</v>
      </c>
      <c r="V122" s="84">
        <v>0</v>
      </c>
      <c r="W122" s="84">
        <v>0</v>
      </c>
    </row>
  </sheetData>
  <mergeCells count="12">
    <mergeCell ref="AJ8:AL8"/>
    <mergeCell ref="AJ30:AL30"/>
    <mergeCell ref="R1:V1"/>
    <mergeCell ref="R2:R3"/>
    <mergeCell ref="S2:S3"/>
    <mergeCell ref="T2:T3"/>
    <mergeCell ref="Q1:Q3"/>
    <mergeCell ref="F1:F2"/>
    <mergeCell ref="G1:I1"/>
    <mergeCell ref="J1:L1"/>
    <mergeCell ref="O1:O3"/>
    <mergeCell ref="P1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workbookViewId="0">
      <selection activeCell="L9" sqref="L9"/>
    </sheetView>
  </sheetViews>
  <sheetFormatPr defaultRowHeight="14.5" x14ac:dyDescent="0.35"/>
  <cols>
    <col min="1" max="1" width="17.26953125" customWidth="1"/>
    <col min="12" max="12" width="4.81640625" bestFit="1" customWidth="1"/>
    <col min="13" max="13" width="17" customWidth="1"/>
    <col min="14" max="14" width="10.26953125" customWidth="1"/>
    <col min="15" max="16" width="11.453125" customWidth="1"/>
    <col min="17" max="17" width="14" customWidth="1"/>
  </cols>
  <sheetData>
    <row r="1" spans="1:21" x14ac:dyDescent="0.35">
      <c r="A1" s="18" t="s">
        <v>48</v>
      </c>
    </row>
    <row r="2" spans="1:21" x14ac:dyDescent="0.35">
      <c r="T2" t="s">
        <v>54</v>
      </c>
      <c r="U2" t="s">
        <v>69</v>
      </c>
    </row>
    <row r="3" spans="1:21" x14ac:dyDescent="0.35">
      <c r="A3" s="15"/>
      <c r="B3" s="82">
        <v>1996</v>
      </c>
      <c r="C3" s="82"/>
      <c r="D3" s="82"/>
      <c r="E3" s="82">
        <v>2001</v>
      </c>
      <c r="F3" s="82"/>
      <c r="G3" s="82"/>
      <c r="H3" s="82">
        <v>2011</v>
      </c>
      <c r="I3" s="82"/>
      <c r="J3" s="82"/>
      <c r="L3" t="s">
        <v>54</v>
      </c>
      <c r="M3" s="22" t="s">
        <v>55</v>
      </c>
      <c r="N3" t="s">
        <v>56</v>
      </c>
      <c r="O3" t="s">
        <v>57</v>
      </c>
      <c r="P3" t="s">
        <v>58</v>
      </c>
      <c r="Q3" t="s">
        <v>59</v>
      </c>
      <c r="T3">
        <v>1985</v>
      </c>
      <c r="U3">
        <v>5420315</v>
      </c>
    </row>
    <row r="4" spans="1:21" x14ac:dyDescent="0.35">
      <c r="A4" s="16" t="s">
        <v>4</v>
      </c>
      <c r="B4" s="16" t="s">
        <v>0</v>
      </c>
      <c r="C4" s="16" t="s">
        <v>1</v>
      </c>
      <c r="D4" s="16" t="s">
        <v>44</v>
      </c>
      <c r="E4" s="16" t="s">
        <v>0</v>
      </c>
      <c r="F4" s="16" t="s">
        <v>1</v>
      </c>
      <c r="G4" s="16" t="s">
        <v>44</v>
      </c>
      <c r="H4" s="16" t="s">
        <v>0</v>
      </c>
      <c r="I4" s="16" t="s">
        <v>1</v>
      </c>
      <c r="J4" s="16" t="s">
        <v>44</v>
      </c>
      <c r="L4">
        <v>1985</v>
      </c>
      <c r="M4">
        <v>5420315</v>
      </c>
      <c r="N4">
        <f>SUM(Demographics!B2:B4)</f>
        <v>1107298</v>
      </c>
      <c r="O4">
        <f>SUM(Demographics!C2:C4)</f>
        <v>1108238</v>
      </c>
      <c r="P4">
        <f>SUM(Demographics!B5:B13)</f>
        <v>1549446</v>
      </c>
      <c r="Q4">
        <f>SUM(Demographics!C5:C13)</f>
        <v>1655333</v>
      </c>
      <c r="T4">
        <v>1996</v>
      </c>
      <c r="U4">
        <v>8068284</v>
      </c>
    </row>
    <row r="5" spans="1:21" x14ac:dyDescent="0.35">
      <c r="A5" s="16" t="s">
        <v>45</v>
      </c>
      <c r="B5" s="16">
        <v>1526597</v>
      </c>
      <c r="C5" s="16">
        <v>1537145</v>
      </c>
      <c r="D5" s="16">
        <f>SUM(B5:C5)</f>
        <v>3063742</v>
      </c>
      <c r="E5" s="16">
        <v>1669704</v>
      </c>
      <c r="F5" s="16">
        <v>1675104</v>
      </c>
      <c r="G5" s="16">
        <f>SUM(E5:F5)</f>
        <v>3344808</v>
      </c>
      <c r="H5" s="16">
        <v>1658047</v>
      </c>
      <c r="I5" s="16">
        <v>1621472</v>
      </c>
      <c r="J5" s="16">
        <f>SUM(H5:I5)</f>
        <v>3279519</v>
      </c>
      <c r="L5">
        <v>1996</v>
      </c>
      <c r="M5">
        <f>SUM(N5:Q5)</f>
        <v>8068284</v>
      </c>
      <c r="N5">
        <v>1526597</v>
      </c>
      <c r="O5">
        <v>1537145</v>
      </c>
      <c r="P5">
        <v>2292625</v>
      </c>
      <c r="Q5">
        <v>2711917</v>
      </c>
      <c r="T5">
        <v>2001</v>
      </c>
      <c r="U5">
        <v>9138179</v>
      </c>
    </row>
    <row r="6" spans="1:21" x14ac:dyDescent="0.35">
      <c r="A6" s="16" t="s">
        <v>46</v>
      </c>
      <c r="B6" s="16">
        <v>2292625</v>
      </c>
      <c r="C6" s="16">
        <v>2711917</v>
      </c>
      <c r="D6" s="16">
        <f>SUM(B6:C6)</f>
        <v>5004542</v>
      </c>
      <c r="E6" s="16">
        <v>2659850</v>
      </c>
      <c r="F6" s="16">
        <v>3133521</v>
      </c>
      <c r="G6" s="16">
        <f>SUM(E6:F6)</f>
        <v>5793371</v>
      </c>
      <c r="H6" s="16">
        <v>3046456</v>
      </c>
      <c r="I6" s="16">
        <v>3433274</v>
      </c>
      <c r="J6" s="16">
        <f>SUM(H6:I6)</f>
        <v>6479730</v>
      </c>
      <c r="L6">
        <v>2001</v>
      </c>
      <c r="M6">
        <f>SUM(N6:Q6)</f>
        <v>9138179</v>
      </c>
      <c r="N6">
        <v>1669704</v>
      </c>
      <c r="O6">
        <v>1675104</v>
      </c>
      <c r="P6">
        <v>2659850</v>
      </c>
      <c r="Q6">
        <v>3133521</v>
      </c>
      <c r="T6">
        <v>2011</v>
      </c>
      <c r="U6">
        <v>10267300</v>
      </c>
    </row>
    <row r="7" spans="1:21" x14ac:dyDescent="0.35">
      <c r="A7" s="16" t="s">
        <v>47</v>
      </c>
      <c r="B7" s="16">
        <v>139799</v>
      </c>
      <c r="C7" s="16">
        <v>244784</v>
      </c>
      <c r="D7" s="16">
        <f>SUM(B7:C7)</f>
        <v>384583</v>
      </c>
      <c r="E7" s="16">
        <v>148529</v>
      </c>
      <c r="F7" s="16">
        <v>297421</v>
      </c>
      <c r="G7" s="16">
        <f>SUM(E7:F7)</f>
        <v>445950</v>
      </c>
      <c r="H7" s="16">
        <v>174173</v>
      </c>
      <c r="I7" s="16">
        <v>333879</v>
      </c>
      <c r="J7" s="16">
        <f>SUM(H7:I7)</f>
        <v>508052</v>
      </c>
      <c r="L7">
        <v>2011</v>
      </c>
      <c r="M7">
        <f>SUM(N7:Q7)</f>
        <v>9759249</v>
      </c>
      <c r="N7">
        <v>1658047</v>
      </c>
      <c r="O7">
        <v>1621472</v>
      </c>
      <c r="P7">
        <v>3046456</v>
      </c>
      <c r="Q7">
        <v>3433274</v>
      </c>
      <c r="T7">
        <v>2013</v>
      </c>
      <c r="U7">
        <v>10456909</v>
      </c>
    </row>
    <row r="8" spans="1:21" x14ac:dyDescent="0.35">
      <c r="A8" s="16" t="s">
        <v>44</v>
      </c>
      <c r="B8" s="16">
        <f>SUM(B5:B7)</f>
        <v>3959021</v>
      </c>
      <c r="C8" s="16">
        <f>SUM(C5:C7)</f>
        <v>4493846</v>
      </c>
      <c r="D8" s="16">
        <f>SUM(B8:C8)</f>
        <v>8452867</v>
      </c>
      <c r="E8" s="16">
        <f>SUM(E5:E7)</f>
        <v>4478083</v>
      </c>
      <c r="F8" s="16">
        <f>SUM(F5:F7)</f>
        <v>5106046</v>
      </c>
      <c r="G8" s="16">
        <f>SUM(E8:F8)</f>
        <v>9584129</v>
      </c>
      <c r="H8" s="16">
        <f>SUM(H5:H7)</f>
        <v>4878676</v>
      </c>
      <c r="I8" s="16">
        <f>SUM(I5:I7)</f>
        <v>5388625</v>
      </c>
      <c r="J8" s="16">
        <f>SUM(H8:I8)</f>
        <v>10267301</v>
      </c>
      <c r="T8">
        <v>2014</v>
      </c>
      <c r="U8">
        <v>10571313</v>
      </c>
    </row>
    <row r="9" spans="1:21" x14ac:dyDescent="0.35">
      <c r="S9" t="s">
        <v>70</v>
      </c>
      <c r="T9">
        <v>2015</v>
      </c>
      <c r="U9">
        <v>10688168</v>
      </c>
    </row>
    <row r="10" spans="1:21" x14ac:dyDescent="0.35">
      <c r="A10" s="19" t="s">
        <v>51</v>
      </c>
      <c r="B10" s="20">
        <f>SUM(B5:B6)</f>
        <v>3819222</v>
      </c>
      <c r="C10" s="20">
        <f t="shared" ref="C10:J10" si="0">SUM(C5:C6)</f>
        <v>4249062</v>
      </c>
      <c r="D10" s="20">
        <f t="shared" si="0"/>
        <v>8068284</v>
      </c>
      <c r="E10" s="20">
        <f t="shared" si="0"/>
        <v>4329554</v>
      </c>
      <c r="F10" s="20">
        <f t="shared" si="0"/>
        <v>4808625</v>
      </c>
      <c r="G10" s="20">
        <f t="shared" si="0"/>
        <v>9138179</v>
      </c>
      <c r="H10" s="20">
        <f t="shared" si="0"/>
        <v>4704503</v>
      </c>
      <c r="I10" s="20">
        <f t="shared" si="0"/>
        <v>5054746</v>
      </c>
      <c r="J10" s="20">
        <f t="shared" si="0"/>
        <v>9759249</v>
      </c>
      <c r="M10">
        <f>(M5-M4)/(L5-L4)</f>
        <v>240724.45454545456</v>
      </c>
      <c r="S10" t="s">
        <v>70</v>
      </c>
      <c r="T10">
        <v>2016</v>
      </c>
      <c r="U10">
        <v>10806536</v>
      </c>
    </row>
    <row r="11" spans="1:21" x14ac:dyDescent="0.35">
      <c r="S11" t="s">
        <v>70</v>
      </c>
      <c r="T11">
        <v>2017</v>
      </c>
      <c r="U11">
        <v>10924776</v>
      </c>
    </row>
    <row r="12" spans="1:21" x14ac:dyDescent="0.35">
      <c r="A12" t="s">
        <v>49</v>
      </c>
      <c r="S12" t="s">
        <v>70</v>
      </c>
      <c r="T12">
        <v>2018</v>
      </c>
      <c r="U12">
        <v>11039740</v>
      </c>
    </row>
    <row r="13" spans="1:21" x14ac:dyDescent="0.35">
      <c r="A13" s="17" t="s">
        <v>50</v>
      </c>
      <c r="S13" t="s">
        <v>70</v>
      </c>
      <c r="T13">
        <v>2019</v>
      </c>
      <c r="U13">
        <v>11155657</v>
      </c>
    </row>
    <row r="16" spans="1:21" ht="29" x14ac:dyDescent="0.35">
      <c r="A16" s="21" t="s">
        <v>52</v>
      </c>
      <c r="B16">
        <f>LN(J10/Demographics!D18)/((2011-1985)*4)</f>
        <v>5.1649773565416463E-3</v>
      </c>
    </row>
    <row r="17" spans="1:6" x14ac:dyDescent="0.35">
      <c r="A17" t="s">
        <v>53</v>
      </c>
      <c r="B17">
        <f>LN(J10/Demographics!D18)/((2011-1985))</f>
        <v>2.0659909426166585E-2</v>
      </c>
    </row>
    <row r="31" spans="1:6" x14ac:dyDescent="0.35">
      <c r="E31" t="s">
        <v>60</v>
      </c>
    </row>
    <row r="32" spans="1:6" x14ac:dyDescent="0.35">
      <c r="E32" t="s">
        <v>54</v>
      </c>
      <c r="F32" t="s">
        <v>61</v>
      </c>
    </row>
    <row r="33" spans="5:8" x14ac:dyDescent="0.35">
      <c r="E33">
        <v>1990</v>
      </c>
      <c r="F33" s="26">
        <v>5.0000000000000001E-3</v>
      </c>
      <c r="G33" t="s">
        <v>63</v>
      </c>
      <c r="H33" t="s">
        <v>64</v>
      </c>
    </row>
    <row r="34" spans="5:8" x14ac:dyDescent="0.35">
      <c r="E34">
        <v>1991</v>
      </c>
      <c r="F34" s="26">
        <v>1.0999999999999999E-2</v>
      </c>
    </row>
    <row r="35" spans="5:8" x14ac:dyDescent="0.35">
      <c r="E35">
        <v>1992</v>
      </c>
      <c r="F35" s="26">
        <v>1.4999999999999999E-2</v>
      </c>
    </row>
    <row r="36" spans="5:8" x14ac:dyDescent="0.35">
      <c r="E36">
        <v>1993</v>
      </c>
      <c r="F36" s="26">
        <v>2.7E-2</v>
      </c>
    </row>
    <row r="37" spans="5:8" x14ac:dyDescent="0.35">
      <c r="E37">
        <v>1994</v>
      </c>
      <c r="F37" s="26">
        <v>5.0999999999999997E-2</v>
      </c>
    </row>
    <row r="38" spans="5:8" x14ac:dyDescent="0.35">
      <c r="E38">
        <v>1995</v>
      </c>
      <c r="F38" s="26">
        <v>6.9000000000000006E-2</v>
      </c>
    </row>
    <row r="39" spans="5:8" x14ac:dyDescent="0.35">
      <c r="E39">
        <v>1996</v>
      </c>
      <c r="F39" s="26">
        <v>9.5000000000000001E-2</v>
      </c>
    </row>
    <row r="40" spans="5:8" x14ac:dyDescent="0.35">
      <c r="E40">
        <v>1997</v>
      </c>
      <c r="F40" s="26">
        <v>0.113</v>
      </c>
    </row>
    <row r="41" spans="5:8" x14ac:dyDescent="0.35">
      <c r="E41">
        <v>1998</v>
      </c>
      <c r="F41" s="26">
        <v>0.152</v>
      </c>
    </row>
    <row r="42" spans="5:8" x14ac:dyDescent="0.35">
      <c r="E42">
        <v>1999</v>
      </c>
      <c r="F42" s="26">
        <v>0.14899999999999999</v>
      </c>
    </row>
    <row r="43" spans="5:8" x14ac:dyDescent="0.35">
      <c r="E43">
        <v>2000</v>
      </c>
      <c r="F43" s="26">
        <v>0.16300000000000001</v>
      </c>
    </row>
    <row r="44" spans="5:8" x14ac:dyDescent="0.35">
      <c r="E44">
        <v>2001</v>
      </c>
      <c r="F44" s="26">
        <v>0.223</v>
      </c>
      <c r="G44" t="s">
        <v>62</v>
      </c>
      <c r="H44" t="s">
        <v>65</v>
      </c>
    </row>
    <row r="45" spans="5:8" x14ac:dyDescent="0.35">
      <c r="E45">
        <v>2002</v>
      </c>
      <c r="F45" s="26">
        <v>0.24299999999999999</v>
      </c>
    </row>
    <row r="46" spans="5:8" x14ac:dyDescent="0.35">
      <c r="E46">
        <v>2003</v>
      </c>
      <c r="F46" s="27">
        <v>0.25</v>
      </c>
    </row>
    <row r="47" spans="5:8" x14ac:dyDescent="0.35">
      <c r="E47">
        <v>2004</v>
      </c>
      <c r="F47" s="26">
        <v>0.27100000000000002</v>
      </c>
    </row>
    <row r="48" spans="5:8" x14ac:dyDescent="0.35">
      <c r="E48">
        <v>2005</v>
      </c>
      <c r="F48" s="26">
        <v>0.26100000000000001</v>
      </c>
    </row>
    <row r="49" spans="5:8" x14ac:dyDescent="0.35">
      <c r="E49">
        <v>2006</v>
      </c>
      <c r="F49" s="26">
        <v>0.26100000000000001</v>
      </c>
    </row>
    <row r="50" spans="5:8" x14ac:dyDescent="0.35">
      <c r="E50">
        <v>2007</v>
      </c>
      <c r="F50" s="26">
        <v>0.25800000000000001</v>
      </c>
    </row>
    <row r="51" spans="5:8" x14ac:dyDescent="0.35">
      <c r="E51">
        <v>2008</v>
      </c>
      <c r="F51" s="26">
        <v>0.25800000000000001</v>
      </c>
    </row>
    <row r="52" spans="5:8" x14ac:dyDescent="0.35">
      <c r="E52">
        <v>2009</v>
      </c>
      <c r="F52" s="26">
        <v>0.26300000000000001</v>
      </c>
    </row>
    <row r="53" spans="5:8" x14ac:dyDescent="0.35">
      <c r="E53">
        <v>2010</v>
      </c>
      <c r="F53" s="26">
        <v>0.26300000000000001</v>
      </c>
    </row>
    <row r="54" spans="5:8" x14ac:dyDescent="0.35">
      <c r="E54">
        <v>2012</v>
      </c>
      <c r="F54" s="26">
        <v>0.318</v>
      </c>
      <c r="H54" t="s">
        <v>66</v>
      </c>
    </row>
    <row r="55" spans="5:8" x14ac:dyDescent="0.35">
      <c r="F55" s="26"/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Nick Tan</cp:lastModifiedBy>
  <dcterms:created xsi:type="dcterms:W3CDTF">2017-01-05T21:29:02Z</dcterms:created>
  <dcterms:modified xsi:type="dcterms:W3CDTF">2017-11-10T22:02:23Z</dcterms:modified>
</cp:coreProperties>
</file>