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HPV-HIVacq\HHCoM\Config\"/>
    </mc:Choice>
  </mc:AlternateContent>
  <bookViews>
    <workbookView xWindow="0" yWindow="0" windowWidth="21600" windowHeight="9525" tabRatio="835" firstSheet="2" activeTab="5"/>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HIV incidence" sheetId="18" r:id="rId15"/>
    <sheet name="MTCT" sheetId="14" r:id="rId16"/>
    <sheet name="ASR_pops" sheetId="17" r:id="rId17"/>
    <sheet name="DALY" sheetId="1"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9" i="16" l="1"/>
  <c r="J38" i="16"/>
  <c r="J37" i="16"/>
  <c r="J36" i="16"/>
  <c r="I39" i="16"/>
  <c r="I38" i="16"/>
  <c r="I37" i="16"/>
  <c r="I36" i="16"/>
  <c r="H39" i="16"/>
  <c r="H38" i="16"/>
  <c r="H37" i="16"/>
  <c r="D36" i="16"/>
  <c r="H36" i="16"/>
  <c r="G39" i="16"/>
  <c r="G38" i="16"/>
  <c r="G37" i="16"/>
  <c r="G36" i="16"/>
  <c r="C39" i="16"/>
  <c r="C38" i="16"/>
  <c r="C37" i="16"/>
  <c r="C36" i="16"/>
  <c r="R10" i="16"/>
  <c r="M111" i="10" l="1"/>
  <c r="M112" i="10"/>
  <c r="M113" i="10"/>
  <c r="M114" i="10"/>
  <c r="M115" i="10"/>
  <c r="M116" i="10"/>
  <c r="M117" i="10"/>
  <c r="M118" i="10"/>
  <c r="L111" i="10"/>
  <c r="L112" i="10"/>
  <c r="L113" i="10"/>
  <c r="L114" i="10"/>
  <c r="L115" i="10"/>
  <c r="L116" i="10"/>
  <c r="L117" i="10"/>
  <c r="L118" i="10"/>
  <c r="K118" i="10"/>
  <c r="K117" i="10"/>
  <c r="K116" i="10"/>
  <c r="K115" i="10"/>
  <c r="K114" i="10"/>
  <c r="K113" i="10"/>
  <c r="K112" i="10"/>
  <c r="K111" i="10"/>
  <c r="K106" i="3"/>
  <c r="D106" i="3"/>
  <c r="L103" i="3" l="1"/>
  <c r="M94" i="3" l="1"/>
  <c r="M95" i="3"/>
  <c r="M96" i="3"/>
  <c r="M97" i="3"/>
  <c r="M98" i="3"/>
  <c r="M99" i="3"/>
  <c r="M100" i="3"/>
  <c r="M101" i="3"/>
  <c r="M102" i="3"/>
  <c r="M103" i="3"/>
  <c r="M104" i="3"/>
  <c r="M105" i="3"/>
  <c r="M93" i="3"/>
  <c r="L94" i="3"/>
  <c r="L95" i="3"/>
  <c r="L96" i="3"/>
  <c r="L97" i="3"/>
  <c r="L98" i="3"/>
  <c r="L99" i="3"/>
  <c r="L100" i="3"/>
  <c r="L101" i="3"/>
  <c r="L102" i="3"/>
  <c r="L104" i="3"/>
  <c r="L105" i="3"/>
  <c r="L93" i="3"/>
  <c r="F94" i="3"/>
  <c r="F95" i="3"/>
  <c r="F96" i="3"/>
  <c r="F97" i="3"/>
  <c r="F98" i="3"/>
  <c r="F99" i="3"/>
  <c r="F100" i="3"/>
  <c r="F101" i="3"/>
  <c r="F102" i="3"/>
  <c r="F103" i="3"/>
  <c r="F104" i="3"/>
  <c r="F105" i="3"/>
  <c r="F93" i="3"/>
  <c r="E94" i="3"/>
  <c r="E95" i="3"/>
  <c r="E96" i="3"/>
  <c r="E97" i="3"/>
  <c r="E98" i="3"/>
  <c r="E99" i="3"/>
  <c r="E100" i="3"/>
  <c r="E101" i="3"/>
  <c r="E102" i="3"/>
  <c r="E103" i="3"/>
  <c r="E104" i="3"/>
  <c r="E105" i="3"/>
  <c r="E93" i="3"/>
  <c r="Q111" i="12" l="1"/>
  <c r="M100" i="12"/>
  <c r="L100" i="12"/>
  <c r="F105" i="12"/>
  <c r="O100" i="12"/>
  <c r="P100" i="12"/>
  <c r="Q100" i="12"/>
  <c r="R100" i="12"/>
  <c r="S100" i="12"/>
  <c r="N100" i="12"/>
  <c r="G213" i="11" l="1"/>
  <c r="S105" i="12" l="1"/>
  <c r="N110" i="12"/>
  <c r="N109" i="12"/>
  <c r="X18" i="12"/>
  <c r="M105" i="12" l="1"/>
  <c r="L105" i="12"/>
  <c r="N105" i="12"/>
  <c r="O105" i="12"/>
  <c r="P105" i="12"/>
  <c r="Q105" i="12"/>
  <c r="R105" i="12"/>
  <c r="G100" i="12"/>
  <c r="H100" i="12"/>
  <c r="I100" i="12"/>
  <c r="J100" i="12"/>
  <c r="K100" i="12"/>
  <c r="F100" i="12"/>
  <c r="S104" i="12" l="1"/>
  <c r="R104" i="12"/>
  <c r="Q104" i="12"/>
  <c r="P104" i="12"/>
  <c r="O104" i="12"/>
  <c r="N104" i="12"/>
  <c r="M104" i="12"/>
  <c r="L104" i="12"/>
  <c r="K104" i="12"/>
  <c r="J104" i="12"/>
  <c r="I104" i="12"/>
  <c r="H104" i="12"/>
  <c r="G104" i="12"/>
  <c r="F104" i="12"/>
  <c r="E104" i="12"/>
  <c r="E105" i="12" s="1"/>
  <c r="D104" i="12"/>
  <c r="D105" i="12" s="1"/>
  <c r="C104" i="12"/>
  <c r="C105" i="12" s="1"/>
  <c r="B104" i="12"/>
  <c r="B105" i="12" s="1"/>
  <c r="E100" i="12"/>
  <c r="D100" i="12"/>
  <c r="S99" i="12"/>
  <c r="R99" i="12"/>
  <c r="Q99" i="12"/>
  <c r="P99" i="12"/>
  <c r="O99" i="12"/>
  <c r="N99" i="12"/>
  <c r="M99" i="12"/>
  <c r="L99" i="12"/>
  <c r="K99" i="12"/>
  <c r="J99" i="12"/>
  <c r="I99" i="12"/>
  <c r="H99" i="12"/>
  <c r="G99" i="12"/>
  <c r="F99" i="12"/>
  <c r="E99" i="12"/>
  <c r="D99" i="12"/>
  <c r="C99" i="12"/>
  <c r="C100" i="12" s="1"/>
  <c r="B99" i="12"/>
  <c r="B100" i="12" s="1"/>
  <c r="K51" i="17" l="1"/>
  <c r="K52" i="17"/>
  <c r="K53" i="17"/>
  <c r="K54" i="17"/>
  <c r="K55" i="17"/>
  <c r="K56" i="17"/>
  <c r="K57" i="17"/>
  <c r="K58" i="17"/>
  <c r="K59" i="17"/>
  <c r="K60" i="17"/>
  <c r="K61" i="17"/>
  <c r="K62" i="17"/>
  <c r="K63" i="17"/>
  <c r="K64" i="17"/>
  <c r="K65" i="17"/>
  <c r="K50" i="17"/>
  <c r="J51" i="17"/>
  <c r="J52" i="17"/>
  <c r="J53" i="17"/>
  <c r="J54" i="17"/>
  <c r="J55" i="17"/>
  <c r="J56" i="17"/>
  <c r="J57" i="17"/>
  <c r="J58" i="17"/>
  <c r="J59" i="17"/>
  <c r="J60" i="17"/>
  <c r="J61" i="17"/>
  <c r="J62" i="17"/>
  <c r="J63" i="17"/>
  <c r="J64" i="17"/>
  <c r="J65" i="17"/>
  <c r="J50" i="17"/>
  <c r="H51" i="17"/>
  <c r="H52" i="17"/>
  <c r="H53" i="17"/>
  <c r="H54" i="17"/>
  <c r="H55" i="17"/>
  <c r="H56" i="17"/>
  <c r="H57" i="17"/>
  <c r="H58" i="17"/>
  <c r="H59" i="17"/>
  <c r="H60" i="17"/>
  <c r="H61" i="17"/>
  <c r="H62" i="17"/>
  <c r="H63" i="17"/>
  <c r="H64" i="17"/>
  <c r="H65" i="17"/>
  <c r="H50" i="17"/>
  <c r="D50" i="17"/>
  <c r="D51" i="17"/>
  <c r="D52" i="17"/>
  <c r="D53" i="17"/>
  <c r="D54" i="17"/>
  <c r="D55" i="17"/>
  <c r="D56" i="17"/>
  <c r="D57" i="17"/>
  <c r="D58" i="17"/>
  <c r="D59" i="17"/>
  <c r="D60" i="17"/>
  <c r="D61" i="17"/>
  <c r="D62" i="17"/>
  <c r="D63" i="17"/>
  <c r="D64" i="17"/>
  <c r="D65" i="17"/>
  <c r="D20" i="17"/>
  <c r="D19" i="17"/>
  <c r="D18" i="17"/>
  <c r="D17" i="17"/>
  <c r="D16" i="17"/>
  <c r="D15" i="17"/>
  <c r="D14" i="17"/>
  <c r="D13" i="17"/>
  <c r="D12" i="17"/>
  <c r="D11" i="17"/>
  <c r="D10" i="17"/>
  <c r="D9" i="17"/>
  <c r="D8" i="17"/>
  <c r="D7" i="17"/>
  <c r="D6" i="17"/>
  <c r="D5" i="17"/>
  <c r="D23" i="17" l="1"/>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16" i="12" l="1"/>
  <c r="K115" i="12"/>
  <c r="K114" i="12"/>
  <c r="K113" i="12"/>
  <c r="J116" i="12"/>
  <c r="J115" i="12"/>
  <c r="J114" i="12"/>
  <c r="J113" i="12"/>
  <c r="G37" i="12" l="1"/>
  <c r="G38" i="12"/>
  <c r="G39" i="12"/>
  <c r="G40" i="12"/>
  <c r="G41" i="12"/>
  <c r="G36" i="12"/>
  <c r="E203" i="12"/>
  <c r="E204" i="12"/>
  <c r="E205" i="12"/>
  <c r="E206" i="12"/>
  <c r="E207" i="12"/>
  <c r="E202" i="12"/>
  <c r="E28" i="12"/>
  <c r="E29" i="12"/>
  <c r="E30" i="12"/>
  <c r="E31" i="12"/>
  <c r="E27" i="12"/>
  <c r="D149" i="12" l="1"/>
  <c r="E149" i="12" s="1"/>
  <c r="D148" i="12"/>
  <c r="E148" i="12" s="1"/>
  <c r="D147" i="12"/>
  <c r="E147" i="12" s="1"/>
  <c r="G121"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D17" i="15"/>
  <c r="C17" i="15" s="1"/>
  <c r="E17" i="15" s="1"/>
  <c r="D16" i="15"/>
  <c r="C16" i="15" s="1"/>
  <c r="E16" i="15" s="1"/>
  <c r="D15" i="15"/>
  <c r="C15" i="15" s="1"/>
  <c r="E15" i="15" s="1"/>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<sst xmlns="http://schemas.openxmlformats.org/spreadsheetml/2006/main" count="3497" uniqueCount="1441">
  <si>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</si>
  <si>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</si>
  <si>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</si>
  <si>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</si>
  <si>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</si>
  <si>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</si>
  <si>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</si>
  <si>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</si>
  <si>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</si>
  <si>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</si>
  <si>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</si>
  <si>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</si>
  <si>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</si>
  <si>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</si>
  <si>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</si>
  <si>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</si>
  <si>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</si>
  <si>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</si>
  <si>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</si>
  <si>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</si>
  <si>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</si>
  <si>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</si>
  <si>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</si>
  <si>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</si>
  <si>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</si>
  <si>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</si>
  <si>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</si>
  <si>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</si>
  <si>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</si>
  <si>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</si>
  <si>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</si>
  <si>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</si>
  <si>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</si>
  <si>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</si>
  <si>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</si>
  <si>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</si>
  <si>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</si>
  <si>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</si>
  <si>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</si>
  <si>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</si>
  <si>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</si>
  <si>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</si>
  <si>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</si>
  <si>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</si>
  <si>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</si>
  <si>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</si>
  <si>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</si>
  <si>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</si>
  <si>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</si>
  <si>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</si>
  <si>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</si>
  <si>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</si>
  <si>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</si>
  <si>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</si>
  <si>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</si>
  <si>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</si>
  <si>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</si>
  <si>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</si>
  <si>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</si>
  <si>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</si>
  <si>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</si>
  <si>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</si>
  <si>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</si>
  <si>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</si>
  <si>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</si>
  <si>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</si>
  <si>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</si>
  <si>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</si>
  <si>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</si>
  <si>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</si>
  <si>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</si>
  <si>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</si>
  <si>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</si>
  <si>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</si>
  <si>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</si>
  <si>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</si>
  <si>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</si>
  <si>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</si>
  <si>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</si>
  <si>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</si>
  <si>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</si>
  <si>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</si>
  <si>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</si>
  <si>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</si>
  <si>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</si>
  <si>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</si>
  <si>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</si>
  <si>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</si>
  <si>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</si>
  <si>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</si>
  <si>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</si>
  <si>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</si>
  <si>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</si>
  <si>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</si>
  <si>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</si>
  <si>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</si>
  <si>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</si>
  <si>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</si>
  <si>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</si>
  <si>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</si>
  <si>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</si>
  <si>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</si>
  <si>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</si>
  <si>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</si>
  <si>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</si>
  <si>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</si>
  <si>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</si>
  <si>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</si>
  <si>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</si>
  <si>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</si>
  <si>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</si>
  <si>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</si>
  <si>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</si>
  <si>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</si>
  <si>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</si>
  <si>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</si>
  <si>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</si>
  <si>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</si>
  <si>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</si>
  <si>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</si>
  <si>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</si>
  <si>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</si>
  <si>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</si>
  <si>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</si>
  <si>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</si>
  <si>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</si>
  <si>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</si>
  <si>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</si>
  <si>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</si>
  <si>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</si>
  <si>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</si>
  <si>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</si>
  <si>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</si>
  <si>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</si>
  <si>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</si>
  <si>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</si>
  <si>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</si>
  <si>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</si>
  <si>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</si>
  <si>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</si>
  <si>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</si>
  <si>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</si>
  <si>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</si>
  <si>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</si>
  <si>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</si>
  <si>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</si>
  <si>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</si>
  <si>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</si>
  <si>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</si>
  <si>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</si>
  <si>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</si>
  <si>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</si>
  <si>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</si>
  <si>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</si>
  <si>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</si>
  <si>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</si>
  <si>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</si>
  <si>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</si>
  <si>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</si>
  <si>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</si>
  <si>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</si>
  <si>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</si>
  <si>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</si>
  <si>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</si>
  <si>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</si>
  <si>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</si>
  <si>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</si>
  <si>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</si>
  <si>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</si>
  <si>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</si>
  <si>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</si>
  <si>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</si>
  <si>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</si>
  <si>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</si>
  <si>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</si>
  <si>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</si>
  <si>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</si>
  <si>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</si>
  <si>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</si>
  <si>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</si>
  <si>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</si>
  <si>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</si>
  <si>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</si>
  <si>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</si>
  <si>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</si>
  <si>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</si>
  <si>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</si>
  <si>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</si>
  <si>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</si>
  <si>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</si>
  <si>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</si>
  <si>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</si>
  <si>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</si>
  <si>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</si>
  <si>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</si>
  <si>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</si>
  <si>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</si>
  <si>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</si>
  <si>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</si>
  <si>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</si>
  <si>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</si>
  <si>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</si>
  <si>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</si>
  <si>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</si>
  <si>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</si>
  <si>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</si>
  <si>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</si>
  <si>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</si>
  <si>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</si>
  <si>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</si>
  <si>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</si>
  <si>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</si>
  <si>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</si>
  <si>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</si>
  <si>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</si>
  <si>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</si>
  <si>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</si>
  <si>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</si>
  <si>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</si>
  <si>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</si>
  <si>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</si>
  <si>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</si>
  <si>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</si>
  <si>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</si>
  <si>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</si>
  <si>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</si>
  <si>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</si>
  <si>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</si>
  <si>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</si>
  <si>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</si>
  <si>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</si>
  <si>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</si>
  <si>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</si>
  <si>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</si>
  <si>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</si>
  <si>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</si>
  <si>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</si>
  <si>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</si>
  <si>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</si>
  <si>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</si>
  <si>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</si>
  <si>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</si>
  <si>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</si>
  <si>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</si>
  <si>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</si>
  <si>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</si>
  <si>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</si>
  <si>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</si>
  <si>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</si>
  <si>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</si>
  <si>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</si>
  <si>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</si>
  <si>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</si>
  <si>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</si>
  <si>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</si>
  <si>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</si>
  <si>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</si>
  <si>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</si>
  <si>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</si>
  <si>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</si>
  <si>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</si>
  <si>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</si>
  <si>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</si>
  <si>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</si>
  <si>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</si>
  <si>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</si>
  <si>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</si>
  <si>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</si>
  <si>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</si>
  <si>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</si>
  <si>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</si>
  <si>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</si>
  <si>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</si>
  <si>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</si>
  <si>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</si>
  <si>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</si>
  <si>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</si>
  <si>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</si>
  <si>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</si>
  <si>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</si>
  <si>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</si>
  <si>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</si>
  <si>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</si>
  <si>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</si>
  <si>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</si>
  <si>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</si>
  <si>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</si>
  <si>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</si>
  <si>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</si>
  <si>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</si>
  <si>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</si>
  <si>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</si>
  <si>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</si>
  <si>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</si>
  <si>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</si>
  <si>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</si>
  <si>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</si>
  <si>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</si>
  <si>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</si>
  <si>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</si>
  <si>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</si>
  <si>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</si>
  <si>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</si>
  <si>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</si>
  <si>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</si>
  <si>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</si>
  <si>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</si>
  <si>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</si>
  <si>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</si>
  <si>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</si>
  <si>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</si>
  <si>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</si>
  <si>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</si>
  <si>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</si>
  <si>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</si>
  <si>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</si>
  <si>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</si>
  <si>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</si>
  <si>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</si>
  <si>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</si>
  <si>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</si>
  <si>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</si>
  <si>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</si>
  <si>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</si>
  <si>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</si>
  <si>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</si>
  <si>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</si>
  <si>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</si>
  <si>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</si>
  <si>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</si>
  <si>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</si>
  <si>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</si>
  <si>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</si>
  <si>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</si>
  <si>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</si>
  <si>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</si>
  <si>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</si>
  <si>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</si>
  <si>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</si>
  <si>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</si>
  <si>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</si>
  <si>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</si>
  <si>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</si>
  <si>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</si>
  <si>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</si>
  <si>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</si>
  <si>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</si>
  <si>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</si>
  <si>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</si>
  <si>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</si>
  <si>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</si>
  <si>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</si>
  <si>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</si>
  <si>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</si>
  <si>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</si>
  <si>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</si>
  <si>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</si>
  <si>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</si>
  <si>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</si>
  <si>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</si>
  <si>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</si>
  <si>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</si>
  <si>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</si>
  <si>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</si>
  <si>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</si>
  <si>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</si>
  <si>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</si>
  <si>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</si>
  <si>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</si>
  <si>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</si>
  <si>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</si>
  <si>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</si>
  <si>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</si>
  <si>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</si>
  <si>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</si>
  <si>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</si>
  <si>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</si>
  <si>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</si>
  <si>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</si>
  <si>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</si>
  <si>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</si>
  <si>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</si>
  <si>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</si>
  <si>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</si>
  <si>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</si>
  <si>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</si>
  <si>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</si>
  <si>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</si>
  <si>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</si>
  <si>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</si>
  <si>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</si>
  <si>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</si>
  <si>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</si>
  <si>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</si>
  <si>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</si>
  <si>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</si>
  <si>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</si>
  <si>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</si>
  <si>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</si>
  <si>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</si>
  <si>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</si>
  <si>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</si>
  <si>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</si>
  <si>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</si>
  <si>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</si>
  <si>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</si>
  <si>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</si>
  <si>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</si>
  <si>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</si>
  <si>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</si>
  <si>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</si>
  <si>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</si>
  <si>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</si>
  <si>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</si>
  <si>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</si>
  <si>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</si>
  <si>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</si>
  <si>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</si>
  <si>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</si>
  <si>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</si>
  <si>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</si>
  <si>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</si>
  <si>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</si>
  <si>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</si>
  <si>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</si>
  <si>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</si>
  <si>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</si>
  <si>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</si>
  <si>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</si>
  <si>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</si>
  <si>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</si>
  <si>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</si>
  <si>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</si>
  <si>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</si>
  <si>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</si>
  <si>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</si>
  <si>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</si>
  <si>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</si>
  <si>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</si>
  <si>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</si>
  <si>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</si>
  <si>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</si>
  <si>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</si>
  <si>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</si>
  <si>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</si>
  <si>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</si>
  <si>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</si>
  <si>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</si>
  <si>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</si>
  <si>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</si>
  <si>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</si>
  <si>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</si>
  <si>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</si>
  <si>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</si>
  <si>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</si>
  <si>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</si>
  <si>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</si>
  <si>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</si>
  <si>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</si>
  <si>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</si>
  <si>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</si>
  <si>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</si>
  <si>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</si>
  <si>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</si>
  <si>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</si>
  <si>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</si>
  <si>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</si>
  <si>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</si>
  <si>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</si>
  <si>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</si>
  <si>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</si>
  <si>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</si>
  <si>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</si>
  <si>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</si>
  <si>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</si>
  <si>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</si>
  <si>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</si>
  <si>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</si>
  <si>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</si>
  <si>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</si>
  <si>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</si>
  <si>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</si>
  <si>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</si>
  <si>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</si>
  <si>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</si>
  <si>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</si>
  <si>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</si>
  <si>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</si>
  <si>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</si>
  <si>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</si>
  <si>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</si>
  <si>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</si>
  <si>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</si>
  <si>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</si>
  <si>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</si>
  <si>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</si>
  <si>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</si>
  <si>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</si>
  <si>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</si>
  <si>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</si>
  <si>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</si>
  <si>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</si>
  <si>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</si>
  <si>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</si>
  <si>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</si>
  <si>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</si>
  <si>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</si>
  <si>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</si>
  <si>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</si>
  <si>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</si>
  <si>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</si>
  <si>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</si>
  <si>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</si>
  <si>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</si>
  <si>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</si>
  <si>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</si>
  <si>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</si>
  <si>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</si>
  <si>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</si>
  <si>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</si>
  <si>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</si>
  <si>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</si>
  <si>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</si>
  <si>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</si>
  <si>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</si>
  <si>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</si>
  <si>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</si>
  <si>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</si>
  <si>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</si>
  <si>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</si>
  <si>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</si>
  <si>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</si>
  <si>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</si>
  <si>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</si>
  <si>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</si>
  <si>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</si>
  <si>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</si>
  <si>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</si>
  <si>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</si>
  <si>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</si>
  <si>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</si>
  <si>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</si>
  <si>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</si>
  <si>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</si>
  <si>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</si>
  <si>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</si>
  <si>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</si>
  <si>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</si>
  <si>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</si>
  <si>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</si>
  <si>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</si>
  <si>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</si>
  <si>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</si>
  <si>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</si>
  <si>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</si>
  <si>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</si>
  <si>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</si>
  <si>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</si>
  <si>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</si>
  <si>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</si>
  <si>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</si>
  <si>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</si>
  <si>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</si>
  <si>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</si>
  <si>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</si>
  <si>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</si>
  <si>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</si>
  <si>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</si>
  <si>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</si>
  <si>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</si>
  <si>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</si>
  <si>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</si>
  <si>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</si>
  <si>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</si>
  <si>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</si>
  <si>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</si>
  <si>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</si>
  <si>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</si>
  <si>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</si>
  <si>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</si>
  <si>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</si>
  <si>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</si>
  <si>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</si>
  <si>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</si>
  <si>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</si>
  <si>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</si>
  <si>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</si>
  <si>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</si>
  <si>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</si>
  <si>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</si>
  <si>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</si>
  <si>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</si>
  <si>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</si>
  <si>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</si>
  <si>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</si>
  <si>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</si>
  <si>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</si>
  <si>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</si>
  <si>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</si>
  <si>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</si>
  <si>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</si>
  <si>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</si>
  <si>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</si>
  <si>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</si>
  <si>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</si>
  <si>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</si>
  <si>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</si>
  <si>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</si>
  <si>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</si>
  <si>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</si>
  <si>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</si>
  <si>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</si>
  <si>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</si>
  <si>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</si>
  <si>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</si>
  <si>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</si>
  <si>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</si>
  <si>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</si>
  <si>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</si>
  <si>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</si>
  <si>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</si>
  <si>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</si>
  <si>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</si>
  <si>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</si>
  <si>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</si>
  <si>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</si>
  <si>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</si>
  <si>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</si>
  <si>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</si>
  <si>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</si>
  <si>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</si>
  <si>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</si>
  <si>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</si>
  <si>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</si>
  <si>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</si>
  <si>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</si>
  <si>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</si>
  <si>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</si>
  <si>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</si>
  <si>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</si>
  <si>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</si>
  <si>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</si>
  <si>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</si>
  <si>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</si>
  <si>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</si>
  <si>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</si>
  <si>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</si>
  <si>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</si>
  <si>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</si>
  <si>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</si>
  <si>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</si>
  <si>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</si>
  <si>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</si>
  <si>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</si>
  <si>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</si>
  <si>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</si>
  <si>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</si>
  <si>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</si>
  <si>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</si>
  <si>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</si>
  <si>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</si>
  <si>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</si>
  <si>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</si>
  <si>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</si>
  <si>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</si>
  <si>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</si>
  <si>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</si>
  <si>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</si>
  <si>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</si>
  <si>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</si>
  <si>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</si>
  <si>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</si>
  <si>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</si>
  <si>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</si>
  <si>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</si>
  <si>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</si>
  <si>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</si>
  <si>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</si>
  <si>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</si>
  <si>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</si>
  <si>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</si>
  <si>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</si>
  <si>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</si>
  <si>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</si>
  <si>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</si>
  <si>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</si>
  <si>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</si>
  <si>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</si>
  <si>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</si>
  <si>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</si>
  <si>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</si>
  <si>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</si>
  <si>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</si>
  <si>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</si>
  <si>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</si>
  <si>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</si>
  <si>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</si>
  <si>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</si>
  <si>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</si>
  <si>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</si>
  <si>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</si>
  <si>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</si>
  <si>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</si>
  <si>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</si>
  <si>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</si>
  <si>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</si>
  <si>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</si>
  <si>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</si>
  <si>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</si>
  <si>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</si>
  <si>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</si>
  <si>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</si>
  <si>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</si>
  <si>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</si>
  <si>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</si>
  <si>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</si>
  <si>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</si>
  <si>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</si>
  <si>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</si>
  <si>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</si>
  <si>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</si>
  <si>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</si>
  <si>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</si>
  <si>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</si>
  <si>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</si>
  <si>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</si>
  <si>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</si>
  <si>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</si>
  <si>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</si>
  <si>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</si>
  <si>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</si>
  <si>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</si>
  <si>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</si>
  <si>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</si>
  <si>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</si>
  <si>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</si>
  <si>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</si>
  <si>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</si>
  <si>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</si>
  <si>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</si>
  <si>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</si>
  <si>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</si>
  <si>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</si>
  <si>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</si>
  <si>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</si>
  <si>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</si>
  <si>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</si>
  <si>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</si>
  <si>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</si>
  <si>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</si>
  <si>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</si>
  <si>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</si>
  <si>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</si>
  <si>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</si>
  <si>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</si>
  <si>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</si>
  <si>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</si>
  <si>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</si>
  <si>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</si>
  <si>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</si>
  <si>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</si>
  <si>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</si>
  <si>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</si>
  <si>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</si>
  <si>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</si>
  <si>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</si>
  <si>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</si>
  <si>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</si>
  <si>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</si>
  <si>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</si>
  <si>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</si>
  <si>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</si>
  <si>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</si>
  <si>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</si>
  <si>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</si>
  <si>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</si>
  <si>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</si>
  <si>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</si>
  <si>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</si>
  <si>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</si>
  <si>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</si>
  <si>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</si>
  <si>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</si>
  <si>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</si>
  <si>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</si>
  <si>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</si>
  <si>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</si>
  <si>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</si>
  <si>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</si>
  <si>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</si>
  <si>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</si>
  <si>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</si>
  <si>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</si>
  <si>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</si>
  <si>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</si>
  <si>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</si>
  <si>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</si>
  <si>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</si>
  <si>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</si>
  <si>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</si>
  <si>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</si>
  <si>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</si>
  <si>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</si>
  <si>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</si>
  <si>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</si>
  <si>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</si>
  <si>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</si>
  <si>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</si>
  <si>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</si>
  <si>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</si>
  <si>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</si>
  <si>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</si>
  <si>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</si>
  <si>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</si>
  <si>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</si>
  <si>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</si>
  <si>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</si>
  <si>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</si>
  <si>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</si>
  <si>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</si>
  <si>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</si>
  <si>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</si>
  <si>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</si>
  <si>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</si>
  <si>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</si>
  <si>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</si>
  <si>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</si>
  <si>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</si>
  <si>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</si>
  <si>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</si>
  <si>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</si>
  <si>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</si>
  <si>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</si>
  <si>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</si>
  <si>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</si>
  <si>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</si>
  <si>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</si>
  <si>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</si>
  <si>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</si>
  <si>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</si>
  <si>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</si>
  <si>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</si>
  <si>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</si>
  <si>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</si>
  <si>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</si>
  <si>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</si>
  <si>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</si>
  <si>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</si>
  <si>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</si>
  <si>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</si>
  <si>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</si>
  <si>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</si>
  <si>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</si>
  <si>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</si>
  <si>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</si>
  <si>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</si>
  <si>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</si>
  <si>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</si>
  <si>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</si>
  <si>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</si>
  <si>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</si>
  <si>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</si>
  <si>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</si>
  <si>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</si>
  <si>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</si>
  <si>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</si>
  <si>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</si>
  <si>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</si>
  <si>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</si>
  <si>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</si>
  <si>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</si>
  <si>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</si>
  <si>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</si>
  <si>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</si>
  <si>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</si>
  <si>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</si>
  <si>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</si>
  <si>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</si>
  <si>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</si>
  <si>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</si>
  <si>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</si>
  <si>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</si>
  <si>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</si>
  <si>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</si>
  <si>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</si>
  <si>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</si>
  <si>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</si>
  <si>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</si>
  <si>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</si>
  <si>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</si>
  <si>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</si>
  <si>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</si>
  <si>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</si>
  <si>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</si>
  <si>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</si>
  <si>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</si>
  <si>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</si>
  <si>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</si>
  <si>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</si>
  <si>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</si>
  <si>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</si>
  <si>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</si>
  <si>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</si>
  <si>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</si>
  <si>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</si>
  <si>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</si>
  <si>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</si>
  <si>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</si>
  <si>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</si>
  <si>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</si>
  <si>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</si>
  <si>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</si>
  <si>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</si>
  <si>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</si>
  <si>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</si>
  <si>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</si>
  <si>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</si>
  <si>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</si>
  <si>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</si>
  <si>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</si>
  <si>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</si>
  <si>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</si>
  <si>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</si>
  <si>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</si>
  <si>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</si>
  <si>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</si>
  <si>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</si>
  <si>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</si>
  <si>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</si>
  <si>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</si>
  <si>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</si>
  <si>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</si>
  <si>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</si>
  <si>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</si>
  <si>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</si>
  <si>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</si>
  <si>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</si>
  <si>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</si>
  <si>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</si>
  <si>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</si>
  <si>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</si>
  <si>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</si>
  <si>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</si>
  <si>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</si>
  <si>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</si>
  <si>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</si>
  <si>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</si>
  <si>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</si>
  <si>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</si>
  <si>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</si>
  <si>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</si>
  <si>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</si>
  <si>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</si>
  <si>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</si>
  <si>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</si>
  <si>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</si>
  <si>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</si>
  <si>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</si>
  <si>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</si>
  <si>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</si>
  <si>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</si>
  <si>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</si>
  <si>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</si>
  <si>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</si>
  <si>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</si>
  <si>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</si>
  <si>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</si>
  <si>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</si>
  <si>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</si>
  <si>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</si>
  <si>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</si>
  <si>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</si>
  <si>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</si>
  <si>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</si>
  <si>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</si>
  <si>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</si>
  <si>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</si>
  <si>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</si>
  <si>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</si>
  <si>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</si>
  <si>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</si>
  <si>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</si>
  <si>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</si>
  <si>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</si>
  <si>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</si>
  <si>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</si>
  <si>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</si>
  <si>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</si>
  <si>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</si>
  <si>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</si>
  <si>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</si>
  <si>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</si>
  <si>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</si>
  <si>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</si>
  <si>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</si>
  <si>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</si>
  <si>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</si>
  <si>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</si>
  <si>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</si>
  <si>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</si>
  <si>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</si>
  <si>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</si>
  <si>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</si>
  <si>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</si>
  <si>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</si>
  <si>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</si>
  <si>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</si>
  <si>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</si>
  <si>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</si>
  <si>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</si>
  <si>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</si>
  <si>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</si>
  <si>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</si>
  <si>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</si>
  <si>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</si>
  <si>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</si>
  <si>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</si>
  <si>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</si>
  <si>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</si>
  <si>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</si>
  <si>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</si>
  <si>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</si>
  <si>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</si>
  <si>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</si>
  <si>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</si>
  <si>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</si>
  <si>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</si>
  <si>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</si>
  <si>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</si>
  <si>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</si>
  <si>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</si>
  <si>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</si>
  <si>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</si>
  <si>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</si>
  <si>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</si>
  <si>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</si>
  <si>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</si>
  <si>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</si>
  <si>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</si>
  <si>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</si>
  <si>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</si>
  <si>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</si>
  <si>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</si>
  <si>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</si>
  <si>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</si>
  <si>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</si>
  <si>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</si>
  <si>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</si>
  <si>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</si>
  <si>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</si>
  <si>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</si>
  <si>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</si>
  <si>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</si>
  <si>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</si>
  <si>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</si>
  <si>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</si>
  <si>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</si>
  <si>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</si>
  <si>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</si>
  <si>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</si>
  <si>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</si>
  <si>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</si>
  <si>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</si>
  <si>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</si>
  <si>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</si>
  <si>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</si>
  <si>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</si>
  <si>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</si>
  <si>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</si>
  <si>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</si>
  <si>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</si>
  <si>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</si>
  <si>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</si>
  <si>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</si>
  <si>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</si>
  <si>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</si>
  <si>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</si>
  <si>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</si>
  <si>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</si>
  <si>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</si>
  <si>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</si>
  <si>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</si>
  <si>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</si>
  <si>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</si>
  <si>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</si>
  <si>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</si>
  <si>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</si>
  <si>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</si>
  <si>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</si>
  <si>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</si>
  <si>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</si>
  <si>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</si>
  <si>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</si>
  <si>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</si>
  <si>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</si>
  <si>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</si>
  <si>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</si>
  <si>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</si>
  <si>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</si>
  <si>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</si>
  <si>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</si>
  <si>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</si>
  <si>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</si>
  <si>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</si>
  <si>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</si>
  <si>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</si>
  <si>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</si>
  <si>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</si>
  <si>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</si>
  <si>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</si>
  <si>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</si>
  <si>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</si>
  <si>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</si>
  <si>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</si>
  <si>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</si>
  <si>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</si>
  <si>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</si>
  <si>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</si>
  <si>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</si>
  <si>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</si>
  <si>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</si>
  <si>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</si>
  <si>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</si>
  <si>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</si>
  <si>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</si>
  <si>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</si>
  <si>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</si>
  <si>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</si>
  <si>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</si>
  <si>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</si>
  <si>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</si>
  <si>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</si>
  <si>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</si>
  <si>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</si>
  <si>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</si>
  <si>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</si>
  <si>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</si>
  <si>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</si>
  <si>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</si>
  <si>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</si>
  <si>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</si>
  <si>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</si>
  <si>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</si>
  <si>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</si>
  <si>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</si>
  <si>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</si>
  <si>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</si>
  <si>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</si>
  <si>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</si>
  <si>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</si>
  <si>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</si>
  <si>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</si>
  <si>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</si>
  <si>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</si>
  <si>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</si>
  <si>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</si>
  <si>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</si>
  <si>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</si>
  <si>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</si>
  <si>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</si>
  <si>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</si>
  <si>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</si>
  <si>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</si>
  <si>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</si>
  <si>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</si>
  <si>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</si>
  <si>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</si>
  <si>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</si>
  <si>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</si>
  <si>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</si>
  <si>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</si>
  <si>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</si>
  <si>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</si>
  <si>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</si>
  <si>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</si>
  <si>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</si>
  <si>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</si>
  <si>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</si>
  <si>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</si>
  <si>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</si>
  <si>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</si>
  <si>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</si>
  <si>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</si>
  <si>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</si>
  <si>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</si>
  <si>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</si>
  <si>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</si>
  <si>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</si>
  <si>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</si>
  <si>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</si>
  <si>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</si>
  <si>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</si>
  <si>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</si>
  <si>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</si>
  <si>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</si>
  <si>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</si>
  <si>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</si>
  <si>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</si>
  <si>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</si>
  <si>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</si>
  <si>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</si>
  <si>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</si>
  <si>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</si>
  <si>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</si>
  <si>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</si>
  <si>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</si>
  <si>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</si>
  <si>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</si>
  <si>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</si>
  <si>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</si>
  <si>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</si>
  <si>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</si>
  <si>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</si>
  <si>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</si>
  <si>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</si>
  <si>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</si>
  <si>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</si>
  <si>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</si>
  <si>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</si>
  <si>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</si>
  <si>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</si>
  <si>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</si>
  <si>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</si>
  <si>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</si>
  <si>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</si>
  <si>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</si>
  <si>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</si>
  <si>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</si>
  <si>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</si>
  <si>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</si>
  <si>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</si>
  <si>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</si>
  <si>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</si>
  <si>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</si>
  <si>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</si>
  <si>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</si>
  <si>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</si>
  <si>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</si>
  <si>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</si>
  <si>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</si>
  <si>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</si>
  <si>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</si>
  <si>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</si>
  <si>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</si>
  <si>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</si>
  <si>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</si>
  <si>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</si>
  <si>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</si>
  <si>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</si>
  <si>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</si>
  <si>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</si>
  <si>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</si>
  <si>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</si>
  <si>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</si>
  <si>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</si>
  <si>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</si>
  <si>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</si>
  <si>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</si>
  <si>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</si>
  <si>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</si>
  <si>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</si>
  <si>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</si>
  <si>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</si>
  <si>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</si>
  <si>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</si>
  <si>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</si>
  <si>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</si>
  <si>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</si>
  <si>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</si>
  <si>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</si>
  <si>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</si>
  <si>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</si>
  <si>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</si>
  <si>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</si>
  <si>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</si>
  <si>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</si>
  <si>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</si>
  <si>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</si>
  <si>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</si>
  <si>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</si>
  <si>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</si>
  <si>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</si>
  <si>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</si>
  <si>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</si>
  <si>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</si>
  <si>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</si>
  <si>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</si>
  <si>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</si>
  <si>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</si>
  <si>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</si>
  <si>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</si>
  <si>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</si>
  <si>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</si>
  <si>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</si>
  <si>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</si>
  <si>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</si>
  <si>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</si>
  <si>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</si>
  <si>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</si>
  <si>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</si>
  <si>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</si>
  <si>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</si>
  <si>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</si>
  <si>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</si>
  <si>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</si>
  <si>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</si>
  <si>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</si>
  <si>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</si>
  <si>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</si>
  <si>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</si>
  <si>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</si>
  <si>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</si>
  <si>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</si>
  <si>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</si>
  <si>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</si>
  <si>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</si>
  <si>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</si>
  <si>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</si>
  <si>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</si>
  <si>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</si>
  <si>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</si>
  <si>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</si>
  <si>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</si>
  <si>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</si>
  <si>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</si>
  <si>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</si>
  <si>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</si>
  <si>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</si>
  <si>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</si>
  <si>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</si>
  <si>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</si>
  <si>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</si>
  <si>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</si>
  <si>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</si>
  <si>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</si>
  <si>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</si>
  <si>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</si>
  <si>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</si>
  <si>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</si>
  <si>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</si>
  <si>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</si>
  <si>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</si>
  <si>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</si>
  <si>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</si>
  <si>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</si>
  <si>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</si>
  <si>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</si>
  <si>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</si>
  <si>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</si>
  <si>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</si>
  <si>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</si>
  <si>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cases</t>
  </si>
  <si>
    <t>Globocan 2018 from ICO report: Kenya</t>
  </si>
  <si>
    <t>Age group, yrs</t>
  </si>
  <si>
    <t> 15–24</t>
  </si>
  <si>
    <t>78.7 (75.4 to 81.9)</t>
  </si>
  <si>
    <t>88.1 (86.1 to 90.2)</t>
  </si>
  <si>
    <t>87.4 (85.5 to 89.3)</t>
  </si>
  <si>
    <t>93.4 (91.8 to 95.0)</t>
  </si>
  <si>
    <t>88.2 (85.9 to 90.5)</t>
  </si>
  <si>
    <t>93.0 (90.8 to 95.1)</t>
  </si>
  <si>
    <t>88.5 (86.4 to 90.7)</t>
  </si>
  <si>
    <t>90.7 (88.0 to 93.4)</t>
  </si>
  <si>
    <t>90.5 (87.8 to 93.2)</t>
  </si>
  <si>
    <t>92.4 (89.6 to 95.2)</t>
  </si>
  <si>
    <t>Unweighted,N</t>
  </si>
  <si>
    <t>Weighted % (95% CI)</t>
  </si>
  <si>
    <t>Unweighted, n</t>
  </si>
  <si>
    <t>Unweighted, N</t>
  </si>
  <si>
    <t>Kenya with recoded age</t>
  </si>
  <si>
    <t>se</t>
  </si>
  <si>
    <t>LCL</t>
  </si>
  <si>
    <t>UCL</t>
  </si>
  <si>
    <t>RowPercent</t>
  </si>
  <si>
    <t>RowStdErr</t>
  </si>
  <si>
    <t>RowLowerCL</t>
  </si>
  <si>
    <t>RowUpperCL</t>
  </si>
  <si>
    <t xml:space="preserve">Not different by sex </t>
  </si>
  <si>
    <t xml:space="preserve">KenPHIA 2018 </t>
  </si>
  <si>
    <t>Total 15-49</t>
  </si>
  <si>
    <t>Total 15-64</t>
  </si>
  <si>
    <t xml:space="preserve">Both </t>
  </si>
  <si>
    <t>80-84</t>
  </si>
  <si>
    <t>Age distribution of the world standard population</t>
  </si>
  <si>
    <t>Source: IARC: https://www-dep.iarc.fr/WHOdb/glossary.htm</t>
  </si>
  <si>
    <t>GLOBOCAN 2012 standard pop, based on Segi, 1960 and Doll 1966</t>
  </si>
  <si>
    <t>Pop size</t>
  </si>
  <si>
    <t>Age-specific % (0-79)</t>
  </si>
  <si>
    <t>Segi (“world”) standard</t>
  </si>
  <si>
    <t>Scandinavian (“European”) standard</t>
  </si>
  <si>
    <t>WHO World Standard*</t>
  </si>
  <si>
    <t>Source: WHO: https://www.who.int/healthinfo/paper31.pdf?ua=1</t>
  </si>
  <si>
    <t>WHO 85+ group includes ages 85-100+</t>
  </si>
  <si>
    <t>Source: UNDESA World Population Prospect</t>
  </si>
  <si>
    <t>Female pop</t>
  </si>
  <si>
    <t>2015 World Pop</t>
  </si>
  <si>
    <t>2012 Model Pop</t>
  </si>
  <si>
    <t>Segi Standard Pop</t>
  </si>
  <si>
    <t>WHO Standard Pop</t>
  </si>
  <si>
    <t># of men living with HIV</t>
  </si>
  <si>
    <t># men on ART</t>
  </si>
  <si>
    <t>ART % all HIV+ men</t>
  </si>
  <si>
    <t>VS %*</t>
  </si>
  <si>
    <t># of women living with HIV</t>
  </si>
  <si>
    <t># women on ART</t>
  </si>
  <si>
    <t>ART % all HIV+ women</t>
  </si>
  <si>
    <t>* assume 75% of women and 65% of men on ART are suppressed on and after 2012, based on KAIS 2012 estimates and 50% before 2012</t>
  </si>
  <si>
    <t>Lower 95%</t>
  </si>
  <si>
    <t>Upper 95%</t>
  </si>
  <si>
    <t>HIV incidence by year and age; AIDSinfo UNAIDS (June 2020)</t>
  </si>
  <si>
    <t>F_15-24_est</t>
  </si>
  <si>
    <t>F_15-24_lci</t>
  </si>
  <si>
    <t>F_15-24_uci</t>
  </si>
  <si>
    <t>M_15-24_est</t>
  </si>
  <si>
    <t>M_15-24_lci</t>
  </si>
  <si>
    <t>M_15-24_uci</t>
  </si>
  <si>
    <t>All_15-24_est</t>
  </si>
  <si>
    <t>All_15-49_est</t>
  </si>
  <si>
    <t>All_15-49_lci</t>
  </si>
  <si>
    <t>All_15-49_uci</t>
  </si>
  <si>
    <t>F_15-49_est</t>
  </si>
  <si>
    <t>F_15-49_lci</t>
  </si>
  <si>
    <t>F_15-49_uci</t>
  </si>
  <si>
    <t>M_15-49_est</t>
  </si>
  <si>
    <t>M_15-49_lci</t>
  </si>
  <si>
    <t>M_15-49_uci</t>
  </si>
  <si>
    <t>All_15-24_lci</t>
  </si>
  <si>
    <t>ALL_15-24_uci</t>
  </si>
  <si>
    <t>F_allages_est</t>
  </si>
  <si>
    <t>F_allages_lci</t>
  </si>
  <si>
    <t>M_allages_est</t>
  </si>
  <si>
    <t>M_allages_lci</t>
  </si>
  <si>
    <t>M_allages_uci</t>
  </si>
  <si>
    <t>F_allages_uci</t>
  </si>
  <si>
    <t xml:space="preserve">Source: Globocan 2020. 2020 estimates are based on the weighted average rates from Eldoret (2012-2017) and Nairobi (2012-2014) registries applied to 2020 Kenyan population. </t>
  </si>
  <si>
    <t xml:space="preserve">15-19 </t>
  </si>
  <si>
    <t>2012 rate</t>
  </si>
  <si>
    <t>2018 rates</t>
  </si>
  <si>
    <t>2020 rates</t>
  </si>
  <si>
    <t xml:space="preserve">ART </t>
  </si>
  <si>
    <t>Derived (averaged) mortality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</si>
</sst>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
      <b/>
      <sz val="1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9" borderId="8" applyFont="0" applyAlignment="0" applyProtection="0"/>
    <xf numFmtId="0" fontId="1" fillId="40" borderId="8" applyFont="0" applyAlignment="0" applyProtection="0"/>
  </cellStyleXfs>
  <cellXfs count="97">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38" borderId="0" xfId="0" applyFill="1"/>
    <xf numFmtId="0" fontId="0" fillId="0" borderId="0" xfId="0"/>
    <xf numFmtId="0" fontId="0" fillId="0" borderId="0" xfId="0" applyNumberFormat="1"/>
    <xf numFmtId="0" fontId="33" fillId="0" borderId="0" xfId="0" applyNumberFormat="1" applyFont="1" applyAlignment="1">
      <alignment horizontal="center" vertical="center" wrapText="1"/>
    </xf>
    <xf numFmtId="0" fontId="0" fillId="0" borderId="0" xfId="0" applyAlignment="1">
      <alignment horizont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cellStyle name="Attrib 2" xfId="57"/>
    <cellStyle name="Bad" xfId="7" builtinId="27" customBuiltin="1"/>
    <cellStyle name="Calculation" xfId="11" builtinId="22" customBuiltin="1"/>
    <cellStyle name="CC" xfId="55"/>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FF938B"/>
      <color rgb="FFFFCCCC"/>
      <color rgb="FFC59EE2"/>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Globocan ICC rates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'CC prevalence'!$C$142</c:f>
              <c:strCache>
                <c:ptCount val="1"/>
                <c:pt idx="0">
                  <c:v>2020 rates</c:v>
                </c:pt>
              </c:strCache>
            </c:strRef>
          </c:tx>
          <c:spPr>
            <a:ln w="28575" cap="rnd">
              <a:solidFill>
                <a:schemeClr val="accent1"/>
              </a:solidFill>
              <a:round/>
            </a:ln>
            <a:effectLst/>
          </c:spPr>
          <c:marker>
            <c:symbol val="none"/>
          </c:marker>
          <c:cat>
            <c:strRef>
              <c:f>'CC prevalence'!$B$143:$B$155</c:f>
              <c:strCache>
                <c:ptCount val="13"/>
                <c:pt idx="0">
                  <c:v>15-19 </c:v>
                </c:pt>
                <c:pt idx="1">
                  <c:v>20-24</c:v>
                </c:pt>
                <c:pt idx="2">
                  <c:v>25-29</c:v>
                </c:pt>
                <c:pt idx="3">
                  <c:v>30-34</c:v>
                </c:pt>
                <c:pt idx="4">
                  <c:v>35-39</c:v>
                </c:pt>
                <c:pt idx="5">
                  <c:v>40-44</c:v>
                </c:pt>
                <c:pt idx="6">
                  <c:v>45-49</c:v>
                </c:pt>
                <c:pt idx="7">
                  <c:v>50-54</c:v>
                </c:pt>
                <c:pt idx="8">
                  <c:v>55-59</c:v>
                </c:pt>
                <c:pt idx="9">
                  <c:v>60-64</c:v>
                </c:pt>
                <c:pt idx="10">
                  <c:v>65-69</c:v>
                </c:pt>
                <c:pt idx="11">
                  <c:v>70-74</c:v>
                </c:pt>
                <c:pt idx="12">
                  <c:v>75-79</c:v>
                </c:pt>
              </c:strCache>
            </c:strRef>
          </c:cat>
          <c:val>
            <c:numRef>
              <c:f>'CC prevalence'!$C$143:$C$155</c:f>
              <c:numCache>
                <c:formatCode>General</c:formatCode>
                <c:ptCount val="13"/>
                <c:pt idx="0">
                  <c:v>0.2</c:v>
                </c:pt>
                <c:pt idx="1">
                  <c:v>0.38</c:v>
                </c:pt>
                <c:pt idx="2">
                  <c:v>3.5</c:v>
                </c:pt>
                <c:pt idx="3">
                  <c:v>14.4</c:v>
                </c:pt>
                <c:pt idx="4">
                  <c:v>29.1</c:v>
                </c:pt>
                <c:pt idx="5">
                  <c:v>50.4</c:v>
                </c:pt>
                <c:pt idx="6">
                  <c:v>72.900000000000006</c:v>
                </c:pt>
                <c:pt idx="7">
                  <c:v>91.4</c:v>
                </c:pt>
                <c:pt idx="8">
                  <c:v>109.7</c:v>
                </c:pt>
                <c:pt idx="9">
                  <c:v>122.3</c:v>
                </c:pt>
                <c:pt idx="10">
                  <c:v>124.7</c:v>
                </c:pt>
                <c:pt idx="11">
                  <c:v>114.1</c:v>
                </c:pt>
                <c:pt idx="12">
                  <c:v>80.67</c:v>
                </c:pt>
              </c:numCache>
            </c:numRef>
          </c:val>
          <c:smooth val="0"/>
          <c:extLst>
            <c:ext xmlns:c16="http://schemas.microsoft.com/office/drawing/2014/chart" uri="{C3380CC4-5D6E-409C-BE32-E72D297353CC}">
              <c16:uniqueId val="{00000000-8329-42B4-A2CC-A25B6DCC5D3A}"/>
            </c:ext>
          </c:extLst>
        </c:ser>
        <c:ser>
          <c:idx val="1"/>
          <c:order val="1"/>
          <c:tx>
            <c:strRef>
              <c:f>'CC prevalence'!$C$92</c:f>
              <c:strCache>
                <c:ptCount val="1"/>
                <c:pt idx="0">
                  <c:v>2012 rate</c:v>
                </c:pt>
              </c:strCache>
            </c:strRef>
          </c:tx>
          <c:spPr>
            <a:ln w="28575" cap="rnd">
              <a:solidFill>
                <a:schemeClr val="accent2"/>
              </a:solidFill>
              <a:round/>
            </a:ln>
            <a:effectLst/>
          </c:spPr>
          <c:marker>
            <c:symbol val="none"/>
          </c:marker>
          <c:val>
            <c:numRef>
              <c:f>'CC prevalence'!$C$93:$C$105</c:f>
              <c:numCache>
                <c:formatCode>General</c:formatCode>
                <c:ptCount val="13"/>
                <c:pt idx="0">
                  <c:v>0.71663276482550398</c:v>
                </c:pt>
                <c:pt idx="1">
                  <c:v>0.84806759505553897</c:v>
                </c:pt>
                <c:pt idx="2">
                  <c:v>7.9909247379126498</c:v>
                </c:pt>
                <c:pt idx="3">
                  <c:v>20.976373024565699</c:v>
                </c:pt>
                <c:pt idx="4">
                  <c:v>40.716632764825398</c:v>
                </c:pt>
                <c:pt idx="5">
                  <c:v>62.664684712877403</c:v>
                </c:pt>
                <c:pt idx="6">
                  <c:v>83.052730402127906</c:v>
                </c:pt>
                <c:pt idx="7">
                  <c:v>103.442340791738</c:v>
                </c:pt>
                <c:pt idx="8">
                  <c:v>130.32389297449501</c:v>
                </c:pt>
                <c:pt idx="9">
                  <c:v>150.45376310436501</c:v>
                </c:pt>
                <c:pt idx="10">
                  <c:v>156.29791894852099</c:v>
                </c:pt>
                <c:pt idx="11">
                  <c:v>150.71350336410501</c:v>
                </c:pt>
                <c:pt idx="12">
                  <c:v>133.18103583163801</c:v>
                </c:pt>
              </c:numCache>
            </c:numRef>
          </c:val>
          <c:smooth val="0"/>
          <c:extLst>
            <c:ext xmlns:c16="http://schemas.microsoft.com/office/drawing/2014/chart" uri="{C3380CC4-5D6E-409C-BE32-E72D297353CC}">
              <c16:uniqueId val="{00000001-8329-42B4-A2CC-A25B6DCC5D3A}"/>
            </c:ext>
          </c:extLst>
        </c:ser>
        <c:ser>
          <c:idx val="2"/>
          <c:order val="2"/>
          <c:tx>
            <c:strRef>
              <c:f>'CC prevalence'!$J$92</c:f>
              <c:strCache>
                <c:ptCount val="1"/>
                <c:pt idx="0">
                  <c:v>2018 rates</c:v>
                </c:pt>
              </c:strCache>
            </c:strRef>
          </c:tx>
          <c:spPr>
            <a:ln w="28575" cap="rnd">
              <a:solidFill>
                <a:schemeClr val="accent3"/>
              </a:solidFill>
              <a:round/>
            </a:ln>
            <a:effectLst/>
          </c:spPr>
          <c:marker>
            <c:symbol val="none"/>
          </c:marker>
          <c:val>
            <c:numRef>
              <c:f>'CC prevalence'!$J$93:$J$105</c:f>
              <c:numCache>
                <c:formatCode>General</c:formatCode>
                <c:ptCount val="13"/>
                <c:pt idx="0">
                  <c:v>0.32</c:v>
                </c:pt>
                <c:pt idx="1">
                  <c:v>1.4</c:v>
                </c:pt>
                <c:pt idx="2">
                  <c:v>2.71</c:v>
                </c:pt>
                <c:pt idx="3">
                  <c:v>7.49</c:v>
                </c:pt>
                <c:pt idx="4">
                  <c:v>16.190000000000001</c:v>
                </c:pt>
                <c:pt idx="5">
                  <c:v>29.45</c:v>
                </c:pt>
                <c:pt idx="6">
                  <c:v>45.54</c:v>
                </c:pt>
                <c:pt idx="7">
                  <c:v>64.45</c:v>
                </c:pt>
                <c:pt idx="8">
                  <c:v>80.97</c:v>
                </c:pt>
                <c:pt idx="9">
                  <c:v>94.67</c:v>
                </c:pt>
                <c:pt idx="10">
                  <c:v>102.5</c:v>
                </c:pt>
                <c:pt idx="11">
                  <c:v>105.54</c:v>
                </c:pt>
                <c:pt idx="12">
                  <c:v>95.76</c:v>
                </c:pt>
              </c:numCache>
            </c:numRef>
          </c:val>
          <c:smooth val="0"/>
          <c:extLst>
            <c:ext xmlns:c16="http://schemas.microsoft.com/office/drawing/2014/chart" uri="{C3380CC4-5D6E-409C-BE32-E72D297353CC}">
              <c16:uniqueId val="{00000002-8329-42B4-A2CC-A25B6DCC5D3A}"/>
            </c:ext>
          </c:extLst>
        </c:ser>
        <c:dLbls>
          <c:showLegendKey val="0"/>
          <c:showVal val="0"/>
          <c:showCatName val="0"/>
          <c:showSerName val="0"/>
          <c:showPercent val="0"/>
          <c:showBubbleSize val="0"/>
        </c:dLbls>
        <c:smooth val="0"/>
        <c:axId val="328751808"/>
        <c:axId val="328743936"/>
      </c:lineChart>
      <c:catAx>
        <c:axId val="3287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43936"/>
        <c:crosses val="autoZero"/>
        <c:auto val="1"/>
        <c:lblAlgn val="ctr"/>
        <c:lblOffset val="100"/>
        <c:noMultiLvlLbl val="0"/>
      </c:catAx>
      <c:valAx>
        <c:axId val="32874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5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populations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ASR_pops!$I$49</c:f>
              <c:strCache>
                <c:ptCount val="1"/>
                <c:pt idx="0">
                  <c:v>2012 Model Pop</c:v>
                </c:pt>
              </c:strCache>
            </c:strRef>
          </c:tx>
          <c:spPr>
            <a:ln w="28575" cap="rnd">
              <a:solidFill>
                <a:schemeClr val="accent1"/>
              </a:solidFill>
              <a:prstDash val="sysDash"/>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ASR_pops!$I$50:$I$65</c:f>
              <c:numCache>
                <c:formatCode>General</c:formatCode>
                <c:ptCount val="16"/>
                <c:pt idx="0">
                  <c:v>0.16406160234237874</c:v>
                </c:pt>
                <c:pt idx="1">
                  <c:v>0.14671167583887032</c:v>
                </c:pt>
                <c:pt idx="2">
                  <c:v>0.13272555102558312</c:v>
                </c:pt>
                <c:pt idx="3">
                  <c:v>0.11900884731351503</c:v>
                </c:pt>
                <c:pt idx="4">
                  <c:v>0.10255831183907636</c:v>
                </c:pt>
                <c:pt idx="5">
                  <c:v>8.4122776780655564E-2</c:v>
                </c:pt>
                <c:pt idx="6">
                  <c:v>6.6095335449081388E-2</c:v>
                </c:pt>
                <c:pt idx="7">
                  <c:v>5.0191566327116841E-2</c:v>
                </c:pt>
                <c:pt idx="8">
                  <c:v>3.7611978145194201E-2</c:v>
                </c:pt>
                <c:pt idx="9">
                  <c:v>2.8198087902596349E-2</c:v>
                </c:pt>
                <c:pt idx="10">
                  <c:v>2.110597362050453E-2</c:v>
                </c:pt>
                <c:pt idx="11">
                  <c:v>1.6054327972645836E-2</c:v>
                </c:pt>
                <c:pt idx="12">
                  <c:v>1.2219039355291153E-2</c:v>
                </c:pt>
                <c:pt idx="13">
                  <c:v>9.0612655660022266E-3</c:v>
                </c:pt>
                <c:pt idx="14">
                  <c:v>6.3115855035599244E-3</c:v>
                </c:pt>
                <c:pt idx="15">
                  <c:v>3.9620750179283895E-3</c:v>
                </c:pt>
              </c:numCache>
            </c:numRef>
          </c:val>
          <c:smooth val="0"/>
          <c:extLst>
            <c:ext xmlns:c16="http://schemas.microsoft.com/office/drawing/2014/chart" uri="{C3380CC4-5D6E-409C-BE32-E72D297353CC}">
              <c16:uniqueId val="{00000000-C18A-40B8-A8C2-7FFE3B7CE219}"/>
            </c:ext>
          </c:extLst>
        </c:ser>
        <c:dLbls>
          <c:showLegendKey val="0"/>
          <c:showVal val="0"/>
          <c:showCatName val="0"/>
          <c:showSerName val="0"/>
          <c:showPercent val="0"/>
          <c:showBubbleSize val="0"/>
        </c:dLbls>
        <c:smooth val="0"/>
        <c:axId val="221338880"/>
        <c:axId val="177753712"/>
      </c:lineChart>
      <c:catAx>
        <c:axId val="2213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3712"/>
        <c:crosses val="autoZero"/>
        <c:auto val="1"/>
        <c:lblAlgn val="ctr"/>
        <c:lblOffset val="100"/>
        <c:noMultiLvlLbl val="0"/>
      </c:catAx>
      <c:valAx>
        <c:axId val="1777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1.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3.png"/><Relationship Id="rId5" Type="http://schemas.openxmlformats.org/officeDocument/2006/relationships/image" Target="../media/image19.png"/><Relationship Id="rId10" Type="http://schemas.openxmlformats.org/officeDocument/2006/relationships/image" Target="../media/image22.png"/><Relationship Id="rId4" Type="http://schemas.openxmlformats.org/officeDocument/2006/relationships/image" Target="../media/image18.png"/><Relationship Id="rId9"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13</xdr:col>
      <xdr:colOff>95250</xdr:colOff>
      <xdr:row>33</xdr:row>
      <xdr:rowOff>171451</xdr:rowOff>
    </xdr:from>
    <xdr:to>
      <xdr:col>19</xdr:col>
      <xdr:colOff>409575</xdr:colOff>
      <xdr:row>44</xdr:row>
      <xdr:rowOff>133351</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658225" y="6457951"/>
          <a:ext cx="3971925" cy="207645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13</xdr:col>
      <xdr:colOff>457200</xdr:colOff>
      <xdr:row>13</xdr:row>
      <xdr:rowOff>123826</xdr:rowOff>
    </xdr:from>
    <xdr:to>
      <xdr:col>22</xdr:col>
      <xdr:colOff>47625</xdr:colOff>
      <xdr:row>29</xdr:row>
      <xdr:rowOff>56221</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600326"/>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126</xdr:row>
      <xdr:rowOff>114300</xdr:rowOff>
    </xdr:from>
    <xdr:to>
      <xdr:col>13</xdr:col>
      <xdr:colOff>66675</xdr:colOff>
      <xdr:row>138</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152</xdr:row>
      <xdr:rowOff>9526</xdr:rowOff>
    </xdr:from>
    <xdr:to>
      <xdr:col>16</xdr:col>
      <xdr:colOff>95207</xdr:colOff>
      <xdr:row>163</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304800</xdr:colOff>
      <xdr:row>172</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171</xdr:row>
      <xdr:rowOff>0</xdr:rowOff>
    </xdr:from>
    <xdr:to>
      <xdr:col>8</xdr:col>
      <xdr:colOff>146916</xdr:colOff>
      <xdr:row>198</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172</xdr:row>
      <xdr:rowOff>38100</xdr:rowOff>
    </xdr:from>
    <xdr:to>
      <xdr:col>14</xdr:col>
      <xdr:colOff>590550</xdr:colOff>
      <xdr:row>189</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29</xdr:row>
      <xdr:rowOff>109537</xdr:rowOff>
    </xdr:from>
    <xdr:to>
      <xdr:col>13</xdr:col>
      <xdr:colOff>66675</xdr:colOff>
      <xdr:row>47</xdr:row>
      <xdr:rowOff>133350</xdr:rowOff>
    </xdr:to>
    <xdr:graphicFrame macro="">
      <xdr:nvGraphicFramePr>
        <xdr:cNvPr id="2" name="Chart 1">
          <a:extLst>
            <a:ext uri="{FF2B5EF4-FFF2-40B4-BE49-F238E27FC236}">
              <a16:creationId xmlns:a16="http://schemas.microsoft.com/office/drawing/2014/main" id="{B1F075B0-EBDF-4F16-A618-B70A986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30</xdr:row>
      <xdr:rowOff>28575</xdr:rowOff>
    </xdr:from>
    <xdr:to>
      <xdr:col>20</xdr:col>
      <xdr:colOff>0</xdr:colOff>
      <xdr:row>36</xdr:row>
      <xdr:rowOff>85725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229600" y="574357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twoCellAnchor editAs="oneCell">
    <xdr:from>
      <xdr:col>21</xdr:col>
      <xdr:colOff>209550</xdr:colOff>
      <xdr:row>22</xdr:row>
      <xdr:rowOff>85725</xdr:rowOff>
    </xdr:from>
    <xdr:to>
      <xdr:col>35</xdr:col>
      <xdr:colOff>322769</xdr:colOff>
      <xdr:row>39</xdr:row>
      <xdr:rowOff>9130</xdr:rowOff>
    </xdr:to>
    <xdr:pic>
      <xdr:nvPicPr>
        <xdr:cNvPr id="2" name="Picture 1">
          <a:extLst>
            <a:ext uri="{FF2B5EF4-FFF2-40B4-BE49-F238E27FC236}">
              <a16:creationId xmlns:a16="http://schemas.microsoft.com/office/drawing/2014/main" id="{B6B07745-F71B-456F-97EA-42FEC5E34CDA}"/>
            </a:ext>
          </a:extLst>
        </xdr:cNvPr>
        <xdr:cNvPicPr>
          <a:picLocks noChangeAspect="1"/>
        </xdr:cNvPicPr>
      </xdr:nvPicPr>
      <xdr:blipFill>
        <a:blip xmlns:r="http://schemas.openxmlformats.org/officeDocument/2006/relationships" r:embed="rId1"/>
        <a:stretch>
          <a:fillRect/>
        </a:stretch>
      </xdr:blipFill>
      <xdr:spPr>
        <a:xfrm>
          <a:off x="13906500" y="4276725"/>
          <a:ext cx="8647619" cy="3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18</xdr:col>
      <xdr:colOff>266700</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266700</xdr:colOff>
      <xdr:row>74</xdr:row>
      <xdr:rowOff>133350</xdr:rowOff>
    </xdr:from>
    <xdr:to>
      <xdr:col>27</xdr:col>
      <xdr:colOff>446680</xdr:colOff>
      <xdr:row>113</xdr:row>
      <xdr:rowOff>189564</xdr:rowOff>
    </xdr:to>
    <xdr:pic>
      <xdr:nvPicPr>
        <xdr:cNvPr id="4" name="Picture 3">
          <a:extLst>
            <a:ext uri="{FF2B5EF4-FFF2-40B4-BE49-F238E27FC236}">
              <a16:creationId xmlns:a16="http://schemas.microsoft.com/office/drawing/2014/main" id="{7E0197EA-8876-432B-9C96-4106DBF4AB71}"/>
            </a:ext>
          </a:extLst>
        </xdr:cNvPr>
        <xdr:cNvPicPr>
          <a:picLocks noChangeAspect="1"/>
        </xdr:cNvPicPr>
      </xdr:nvPicPr>
      <xdr:blipFill>
        <a:blip xmlns:r="http://schemas.openxmlformats.org/officeDocument/2006/relationships" r:embed="rId2"/>
        <a:stretch>
          <a:fillRect/>
        </a:stretch>
      </xdr:blipFill>
      <xdr:spPr>
        <a:xfrm>
          <a:off x="9858375" y="14230350"/>
          <a:ext cx="7961905" cy="7485714"/>
        </a:xfrm>
        <a:prstGeom prst="rect">
          <a:avLst/>
        </a:prstGeom>
      </xdr:spPr>
    </xdr:pic>
    <xdr:clientData/>
  </xdr:twoCellAnchor>
  <xdr:twoCellAnchor editAs="oneCell">
    <xdr:from>
      <xdr:col>19</xdr:col>
      <xdr:colOff>19050</xdr:colOff>
      <xdr:row>79</xdr:row>
      <xdr:rowOff>28575</xdr:rowOff>
    </xdr:from>
    <xdr:to>
      <xdr:col>30</xdr:col>
      <xdr:colOff>494402</xdr:colOff>
      <xdr:row>114</xdr:row>
      <xdr:rowOff>84884</xdr:rowOff>
    </xdr:to>
    <xdr:pic>
      <xdr:nvPicPr>
        <xdr:cNvPr id="5" name="Picture 4">
          <a:extLst>
            <a:ext uri="{FF2B5EF4-FFF2-40B4-BE49-F238E27FC236}">
              <a16:creationId xmlns:a16="http://schemas.microsoft.com/office/drawing/2014/main" id="{28691604-FE8B-42FB-8985-F78620C9218B}"/>
            </a:ext>
          </a:extLst>
        </xdr:cNvPr>
        <xdr:cNvPicPr>
          <a:picLocks noChangeAspect="1"/>
        </xdr:cNvPicPr>
      </xdr:nvPicPr>
      <xdr:blipFill>
        <a:blip xmlns:r="http://schemas.openxmlformats.org/officeDocument/2006/relationships" r:embed="rId3"/>
        <a:stretch>
          <a:fillRect/>
        </a:stretch>
      </xdr:blipFill>
      <xdr:spPr>
        <a:xfrm>
          <a:off x="12287250" y="15078075"/>
          <a:ext cx="7180952" cy="6723809"/>
        </a:xfrm>
        <a:prstGeom prst="rect">
          <a:avLst/>
        </a:prstGeom>
      </xdr:spPr>
    </xdr:pic>
    <xdr:clientData/>
  </xdr:twoCellAnchor>
  <xdr:twoCellAnchor>
    <xdr:from>
      <xdr:col>6</xdr:col>
      <xdr:colOff>581025</xdr:colOff>
      <xdr:row>143</xdr:row>
      <xdr:rowOff>19050</xdr:rowOff>
    </xdr:from>
    <xdr:to>
      <xdr:col>14</xdr:col>
      <xdr:colOff>57150</xdr:colOff>
      <xdr:row>157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86" zoomScale="80" zoomScaleNormal="80" workbookViewId="0">
      <selection activeCell="M111" sqref="M111"/>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1" spans="2:18" x14ac:dyDescent="0.25">
      <c r="K111">
        <f>(H91+H92)/H109</f>
        <v>0.29374910101068413</v>
      </c>
      <c r="L111" s="93">
        <f>(I91+I92)/I109</f>
        <v>0.30392709469521828</v>
      </c>
      <c r="M111" s="93">
        <f>(J91+J92)/J109</f>
        <v>0.29880841791202961</v>
      </c>
    </row>
    <row r="112" spans="2:18" x14ac:dyDescent="0.25">
      <c r="K112">
        <f>(H93+H94)/H109</f>
        <v>0.23254279266392788</v>
      </c>
      <c r="L112" s="93">
        <f>(I93+I94)/I109</f>
        <v>0.2443129483466891</v>
      </c>
      <c r="M112" s="93">
        <f>(J93+J94)/J109</f>
        <v>0.23839354767743784</v>
      </c>
    </row>
    <row r="113" spans="1:25" x14ac:dyDescent="0.25">
      <c r="A113" t="s">
        <v>693</v>
      </c>
      <c r="B113" t="s">
        <v>153</v>
      </c>
      <c r="C113" t="s">
        <v>144</v>
      </c>
      <c r="D113" t="s">
        <v>697</v>
      </c>
      <c r="E113" t="s">
        <v>694</v>
      </c>
      <c r="F113" t="s">
        <v>695</v>
      </c>
      <c r="G113" t="s">
        <v>696</v>
      </c>
      <c r="K113">
        <f>(H95+H96)/H109</f>
        <v>0.1901934627582684</v>
      </c>
      <c r="L113" s="93">
        <f>(I95+I96)/I109</f>
        <v>0.17106829151326006</v>
      </c>
      <c r="M113" s="93">
        <f>(J95+J96)/J109</f>
        <v>0.18068664784758245</v>
      </c>
    </row>
    <row r="114" spans="1:25" s="37" customFormat="1" x14ac:dyDescent="0.25">
      <c r="B114" s="37">
        <v>1979</v>
      </c>
      <c r="C114" s="16">
        <f>J22</f>
        <v>15297576</v>
      </c>
      <c r="D114" s="16">
        <f>SUM(H4:H6)</f>
        <v>3720044</v>
      </c>
      <c r="E114" s="16">
        <f>SUM(I4:I6)</f>
        <v>3689973</v>
      </c>
      <c r="F114" s="16">
        <f>SUM(H7:H20)</f>
        <v>3871417</v>
      </c>
      <c r="G114" s="16">
        <f>SUM(I4:I20)</f>
        <v>7706115</v>
      </c>
      <c r="K114" s="37">
        <f>(H97+H98)/H109</f>
        <v>0.11673623142339808</v>
      </c>
      <c r="L114" s="93">
        <f>(I97+I98)/I109</f>
        <v>0.11782732571304833</v>
      </c>
      <c r="M114" s="93">
        <f>(J97+J98)/J109</f>
        <v>0.117278596839578</v>
      </c>
    </row>
    <row r="115" spans="1:25" x14ac:dyDescent="0.25">
      <c r="B115">
        <v>1989</v>
      </c>
      <c r="C115" s="16">
        <f>J48</f>
        <v>21443636</v>
      </c>
      <c r="D115" s="16">
        <f>SUM(I30:I32)</f>
        <v>5158906</v>
      </c>
      <c r="E115" s="16">
        <f>SUM(H30:H32)</f>
        <v>5099767</v>
      </c>
      <c r="F115" s="16">
        <f>SUM(I33:I46)</f>
        <v>5454722</v>
      </c>
      <c r="G115" s="16">
        <f>SUM(H33:H46)</f>
        <v>5704992</v>
      </c>
      <c r="K115" s="93">
        <f>(H99+H100)/H109</f>
        <v>7.0556672724217395E-2</v>
      </c>
      <c r="L115" s="93">
        <f>(I99+I100)/I109</f>
        <v>7.1844367198823617E-2</v>
      </c>
      <c r="M115" s="93">
        <f>(J99+J100)/J109</f>
        <v>7.1196764929132392E-2</v>
      </c>
    </row>
    <row r="116" spans="1:25" x14ac:dyDescent="0.25">
      <c r="B116">
        <v>1999</v>
      </c>
      <c r="C116" s="16">
        <f>J85</f>
        <v>28686000</v>
      </c>
      <c r="D116" s="16">
        <f>SUM(I67:I69)</f>
        <v>6327496</v>
      </c>
      <c r="E116" s="16">
        <f>SUM(H67:H69)</f>
        <v>6209177</v>
      </c>
      <c r="F116" s="16">
        <f>SUM(I70:I83)</f>
        <v>7773999</v>
      </c>
      <c r="G116" s="16">
        <f>SUM(H70:H83)</f>
        <v>8184885</v>
      </c>
      <c r="K116" s="93">
        <f>(H101+H102)/H109</f>
        <v>4.2762510931426835E-2</v>
      </c>
      <c r="L116" s="93">
        <f>(I101+I102)/I109</f>
        <v>4.3653189185043413E-2</v>
      </c>
      <c r="M116" s="93">
        <f>(J101+J102)/J109</f>
        <v>4.3205252760696249E-2</v>
      </c>
    </row>
    <row r="117" spans="1:25" x14ac:dyDescent="0.25">
      <c r="B117">
        <v>2009</v>
      </c>
      <c r="C117" s="16">
        <f>J109</f>
        <v>38610097</v>
      </c>
      <c r="D117" s="16">
        <f>SUM(I91:I93)</f>
        <v>8398421</v>
      </c>
      <c r="E117" s="16">
        <f>SUM(H91:H93)</f>
        <v>8173456</v>
      </c>
      <c r="F117" s="16">
        <f>SUM(I94:I107)</f>
        <v>10782559</v>
      </c>
      <c r="G117" s="16">
        <f>SUM(H94:H107)</f>
        <v>11234575</v>
      </c>
      <c r="K117" s="93">
        <f>(H103+H104)/H109</f>
        <v>2.6068720301165346E-2</v>
      </c>
      <c r="L117" s="93">
        <f>(I103+I104)/I109</f>
        <v>2.4923748693366946E-2</v>
      </c>
      <c r="M117" s="93">
        <f>(J103+J104)/J109</f>
        <v>2.5499573336995242E-2</v>
      </c>
    </row>
    <row r="118" spans="1:25" x14ac:dyDescent="0.25">
      <c r="K118" s="93">
        <f>(H105+H107)/H109</f>
        <v>2.0783989237826494E-2</v>
      </c>
      <c r="L118" s="93">
        <f>(I105+I107)/I109</f>
        <v>1.6643308532966441E-2</v>
      </c>
      <c r="M118" s="93">
        <f>(J105+J107)/J109</f>
        <v>1.8725723481088381E-2</v>
      </c>
    </row>
    <row r="119" spans="1:25" x14ac:dyDescent="0.25">
      <c r="K119" s="93"/>
    </row>
    <row r="120" spans="1:25" x14ac:dyDescent="0.25">
      <c r="K120" s="93"/>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1288</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1241</v>
      </c>
      <c r="J168" s="76" t="s">
        <v>1242</v>
      </c>
      <c r="K168" s="76" t="s">
        <v>1011</v>
      </c>
      <c r="L168" s="76" t="s">
        <v>156</v>
      </c>
      <c r="M168" s="76" t="s">
        <v>157</v>
      </c>
      <c r="N168" s="76" t="s">
        <v>1151</v>
      </c>
      <c r="O168" s="49" t="s">
        <v>1243</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1289</v>
      </c>
      <c r="J176" s="37"/>
      <c r="K176" s="37"/>
      <c r="L176" s="37"/>
    </row>
    <row r="177" spans="2:15" x14ac:dyDescent="0.25">
      <c r="B177">
        <v>79.281505233843589</v>
      </c>
      <c r="C177">
        <v>61.808893525808607</v>
      </c>
      <c r="H177" s="49" t="s">
        <v>196</v>
      </c>
      <c r="I177" s="37" t="s">
        <v>1241</v>
      </c>
      <c r="J177" s="76" t="s">
        <v>1242</v>
      </c>
      <c r="K177" s="76" t="s">
        <v>1011</v>
      </c>
      <c r="L177" s="76" t="s">
        <v>156</v>
      </c>
      <c r="M177" s="76" t="s">
        <v>157</v>
      </c>
      <c r="N177" s="76" t="s">
        <v>1151</v>
      </c>
      <c r="O177" s="49" t="s">
        <v>1243</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1290</v>
      </c>
      <c r="I186" s="37"/>
      <c r="J186" s="37"/>
      <c r="K186" s="37"/>
      <c r="L186" s="37"/>
      <c r="M186" s="37"/>
      <c r="N186" s="37"/>
      <c r="O186" s="37"/>
    </row>
    <row r="187" spans="2:15" x14ac:dyDescent="0.25">
      <c r="H187" s="49" t="s">
        <v>196</v>
      </c>
      <c r="I187" s="37" t="s">
        <v>1241</v>
      </c>
      <c r="J187" s="76" t="s">
        <v>1242</v>
      </c>
      <c r="K187" s="76" t="s">
        <v>1011</v>
      </c>
      <c r="L187" s="76" t="s">
        <v>156</v>
      </c>
      <c r="M187" s="76" t="s">
        <v>157</v>
      </c>
      <c r="N187" s="76" t="s">
        <v>1151</v>
      </c>
      <c r="O187" s="49" t="s">
        <v>1243</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1295</v>
      </c>
      <c r="H196" s="77" t="s">
        <v>1331</v>
      </c>
      <c r="I196" s="49"/>
      <c r="J196" s="49"/>
      <c r="K196" s="49"/>
      <c r="L196" s="49"/>
      <c r="M196" s="49"/>
      <c r="N196" s="49"/>
      <c r="O196" s="49"/>
    </row>
    <row r="197" spans="1:15" x14ac:dyDescent="0.25">
      <c r="B197" t="s">
        <v>1072</v>
      </c>
      <c r="C197" t="s">
        <v>1296</v>
      </c>
      <c r="D197" t="s">
        <v>1304</v>
      </c>
      <c r="E197" t="s">
        <v>1297</v>
      </c>
      <c r="F197" s="37"/>
      <c r="G197" s="37"/>
      <c r="H197" s="49" t="s">
        <v>196</v>
      </c>
      <c r="I197" s="37" t="s">
        <v>1241</v>
      </c>
      <c r="J197" s="76" t="s">
        <v>1242</v>
      </c>
      <c r="K197" s="76" t="s">
        <v>1011</v>
      </c>
      <c r="L197" s="76" t="s">
        <v>156</v>
      </c>
      <c r="M197" s="76" t="s">
        <v>157</v>
      </c>
      <c r="N197" s="76" t="s">
        <v>1151</v>
      </c>
      <c r="O197" s="49" t="s">
        <v>1243</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1298</v>
      </c>
      <c r="D203" s="37" t="s">
        <v>1305</v>
      </c>
      <c r="E203" s="37" t="s">
        <v>1299</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1300</v>
      </c>
      <c r="D209" s="37" t="s">
        <v>1306</v>
      </c>
      <c r="E209" s="37" t="s">
        <v>1301</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1302</v>
      </c>
      <c r="D215" t="s">
        <v>1307</v>
      </c>
      <c r="E215" t="s">
        <v>1303</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1325</v>
      </c>
      <c r="D221" s="37" t="s">
        <v>1327</v>
      </c>
      <c r="E221" s="37" t="s">
        <v>1326</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1328</v>
      </c>
      <c r="D227" s="37" t="s">
        <v>1329</v>
      </c>
      <c r="E227" s="37" t="s">
        <v>1330</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1"/>
  <sheetViews>
    <sheetView topLeftCell="A211" workbookViewId="0">
      <selection activeCell="P205" sqref="P205"/>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1332</v>
      </c>
      <c r="K3" t="s">
        <v>1333</v>
      </c>
      <c r="N3" s="21" t="s">
        <v>80</v>
      </c>
      <c r="O3" s="21" t="s">
        <v>222</v>
      </c>
      <c r="P3" t="s">
        <v>1244</v>
      </c>
      <c r="Q3" t="s">
        <v>1245</v>
      </c>
      <c r="R3" s="21" t="s">
        <v>217</v>
      </c>
      <c r="S3" t="s">
        <v>1244</v>
      </c>
      <c r="T3" t="s">
        <v>1245</v>
      </c>
      <c r="U3" s="21" t="s">
        <v>144</v>
      </c>
      <c r="V3" t="s">
        <v>1244</v>
      </c>
      <c r="W3" t="s">
        <v>1245</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1246</v>
      </c>
      <c r="P11" t="s">
        <v>1246</v>
      </c>
      <c r="Q11" t="s">
        <v>1246</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1334</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1335</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1336</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1337</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1338</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1339</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1340</v>
      </c>
      <c r="G40" s="37">
        <v>9.8000000000000007</v>
      </c>
      <c r="H40" s="40">
        <v>7.1</v>
      </c>
      <c r="I40" s="40">
        <v>12.5</v>
      </c>
      <c r="J40" s="40">
        <v>10.7</v>
      </c>
      <c r="M40" s="21">
        <v>8.9</v>
      </c>
    </row>
    <row r="41" spans="1:26" s="21" customFormat="1" x14ac:dyDescent="0.25">
      <c r="A41" s="54"/>
      <c r="B41" s="54" t="s">
        <v>392</v>
      </c>
      <c r="C41" s="55">
        <v>0.12</v>
      </c>
      <c r="D41" s="55">
        <v>0.21</v>
      </c>
      <c r="E41" s="54"/>
      <c r="F41" s="21" t="s">
        <v>1341</v>
      </c>
      <c r="G41" s="37">
        <v>8.4</v>
      </c>
      <c r="H41" s="40">
        <v>6.3</v>
      </c>
      <c r="I41" s="40">
        <v>10.5</v>
      </c>
      <c r="J41" s="40">
        <v>10</v>
      </c>
      <c r="M41" s="21">
        <v>7</v>
      </c>
    </row>
    <row r="42" spans="1:26" s="21" customFormat="1" x14ac:dyDescent="0.25">
      <c r="A42" s="54"/>
      <c r="B42" s="54" t="s">
        <v>535</v>
      </c>
      <c r="C42" s="55">
        <v>0.06</v>
      </c>
      <c r="D42" s="55">
        <v>0.12</v>
      </c>
      <c r="E42" s="54"/>
      <c r="F42" s="21" t="s">
        <v>1342</v>
      </c>
      <c r="G42" s="37">
        <v>4.4000000000000004</v>
      </c>
      <c r="H42" s="40">
        <v>2.4</v>
      </c>
      <c r="I42" s="40">
        <v>6.4</v>
      </c>
      <c r="J42" s="40">
        <v>5</v>
      </c>
      <c r="M42" s="21">
        <v>4</v>
      </c>
    </row>
    <row r="43" spans="1:26" s="21" customFormat="1" x14ac:dyDescent="0.25">
      <c r="A43" s="54"/>
      <c r="B43" s="54" t="s">
        <v>536</v>
      </c>
      <c r="C43" s="55">
        <v>0.04</v>
      </c>
      <c r="D43" s="55">
        <v>0.12</v>
      </c>
      <c r="E43" s="54"/>
      <c r="F43" s="21" t="s">
        <v>1343</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1244</v>
      </c>
      <c r="E61" t="s">
        <v>1245</v>
      </c>
      <c r="F61" s="21" t="s">
        <v>217</v>
      </c>
      <c r="G61" t="s">
        <v>1244</v>
      </c>
      <c r="H61" t="s">
        <v>1245</v>
      </c>
      <c r="I61" s="21" t="s">
        <v>144</v>
      </c>
      <c r="J61" t="s">
        <v>1244</v>
      </c>
      <c r="K61" t="s">
        <v>1245</v>
      </c>
      <c r="M61" s="37" t="s">
        <v>80</v>
      </c>
      <c r="N61" s="37" t="s">
        <v>222</v>
      </c>
      <c r="O61" s="37" t="s">
        <v>1244</v>
      </c>
      <c r="P61" s="37" t="s">
        <v>1245</v>
      </c>
      <c r="Q61" s="37" t="s">
        <v>217</v>
      </c>
      <c r="R61" s="37" t="s">
        <v>1244</v>
      </c>
      <c r="S61" s="37" t="s">
        <v>1245</v>
      </c>
      <c r="T61" s="37" t="s">
        <v>144</v>
      </c>
      <c r="U61" s="37" t="s">
        <v>1244</v>
      </c>
      <c r="V61" s="37" t="s">
        <v>1245</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1246</v>
      </c>
      <c r="D69" t="s">
        <v>1246</v>
      </c>
      <c r="E69" t="s">
        <v>1246</v>
      </c>
      <c r="F69" s="8">
        <v>15.9094</v>
      </c>
      <c r="G69" s="8">
        <v>3.0767000000000002</v>
      </c>
      <c r="H69" s="8">
        <v>28.742100000000001</v>
      </c>
      <c r="I69" s="31" t="s">
        <v>1246</v>
      </c>
      <c r="J69" s="8">
        <v>3.0767000000000002</v>
      </c>
      <c r="K69" s="8">
        <v>28.742100000000001</v>
      </c>
      <c r="M69" s="37" t="s">
        <v>392</v>
      </c>
      <c r="N69" s="37" t="s">
        <v>1246</v>
      </c>
      <c r="O69" s="37" t="s">
        <v>1246</v>
      </c>
      <c r="P69" s="37" t="s">
        <v>1246</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1323</v>
      </c>
    </row>
    <row r="183" spans="1:17" x14ac:dyDescent="0.25">
      <c r="B183" t="s">
        <v>500</v>
      </c>
      <c r="C183" s="37" t="s">
        <v>595</v>
      </c>
      <c r="D183" s="37" t="s">
        <v>575</v>
      </c>
      <c r="E183" t="s">
        <v>576</v>
      </c>
      <c r="G183" t="s">
        <v>1324</v>
      </c>
      <c r="I183" t="s">
        <v>222</v>
      </c>
      <c r="J183" t="s">
        <v>575</v>
      </c>
      <c r="K183" t="s">
        <v>576</v>
      </c>
      <c r="L183" t="s">
        <v>223</v>
      </c>
      <c r="M183" t="s">
        <v>575</v>
      </c>
      <c r="N183" t="s">
        <v>576</v>
      </c>
    </row>
    <row r="184" spans="1:17" x14ac:dyDescent="0.25">
      <c r="B184">
        <v>1990</v>
      </c>
      <c r="C184" s="94">
        <v>4.5999999999999996</v>
      </c>
      <c r="D184" s="94">
        <v>4</v>
      </c>
      <c r="E184" s="94">
        <v>5.2</v>
      </c>
      <c r="G184" s="37">
        <f>E184-D184</f>
        <v>1.2000000000000002</v>
      </c>
      <c r="I184" s="40">
        <v>5.3</v>
      </c>
      <c r="J184" s="40">
        <v>4.5999999999999996</v>
      </c>
      <c r="K184" s="40">
        <v>6.1</v>
      </c>
      <c r="L184" s="40">
        <v>3.8</v>
      </c>
      <c r="M184" s="40">
        <v>3.2</v>
      </c>
      <c r="N184" s="40">
        <v>4.4000000000000004</v>
      </c>
      <c r="P184" s="37"/>
    </row>
    <row r="185" spans="1:17" x14ac:dyDescent="0.25">
      <c r="B185">
        <v>1991</v>
      </c>
      <c r="C185" s="94">
        <v>5.9</v>
      </c>
      <c r="D185" s="94">
        <v>5.2</v>
      </c>
      <c r="E185" s="94">
        <v>6.7</v>
      </c>
      <c r="F185" s="37"/>
      <c r="G185" s="37">
        <f t="shared" ref="G185:G213" si="0">E185-D185</f>
        <v>1.5</v>
      </c>
      <c r="I185" s="40">
        <v>6.9</v>
      </c>
      <c r="J185" s="40">
        <v>5.9</v>
      </c>
      <c r="K185" s="40">
        <v>8</v>
      </c>
      <c r="L185" s="40">
        <v>4.8</v>
      </c>
      <c r="M185" s="40">
        <v>4</v>
      </c>
      <c r="N185" s="40">
        <v>5.6</v>
      </c>
      <c r="P185" s="37"/>
      <c r="Q185" s="37"/>
    </row>
    <row r="186" spans="1:17" x14ac:dyDescent="0.25">
      <c r="B186">
        <v>1992</v>
      </c>
      <c r="C186" s="94">
        <v>7.2</v>
      </c>
      <c r="D186" s="94">
        <v>6.3</v>
      </c>
      <c r="E186" s="94">
        <v>8.1999999999999993</v>
      </c>
      <c r="F186" s="37"/>
      <c r="G186" s="37">
        <f t="shared" si="0"/>
        <v>1.8999999999999995</v>
      </c>
      <c r="I186" s="40">
        <v>8.5</v>
      </c>
      <c r="J186" s="40">
        <v>7.3</v>
      </c>
      <c r="K186" s="40">
        <v>9.8000000000000007</v>
      </c>
      <c r="L186" s="40">
        <v>5.8</v>
      </c>
      <c r="M186" s="40">
        <v>4.8</v>
      </c>
      <c r="N186" s="40">
        <v>6.7</v>
      </c>
      <c r="P186" s="37"/>
      <c r="Q186" s="37"/>
    </row>
    <row r="187" spans="1:17" x14ac:dyDescent="0.25">
      <c r="B187" s="37">
        <v>1993</v>
      </c>
      <c r="C187" s="94">
        <v>8.3000000000000007</v>
      </c>
      <c r="D187" s="94">
        <v>7.3</v>
      </c>
      <c r="E187" s="94">
        <v>9.5</v>
      </c>
      <c r="F187" s="37"/>
      <c r="G187" s="37">
        <f t="shared" si="0"/>
        <v>2.2000000000000002</v>
      </c>
      <c r="I187" s="40">
        <v>10</v>
      </c>
      <c r="J187" s="40">
        <v>8.6</v>
      </c>
      <c r="K187" s="40">
        <v>11.5</v>
      </c>
      <c r="L187" s="40">
        <v>6.6</v>
      </c>
      <c r="M187" s="40">
        <v>5.5</v>
      </c>
      <c r="N187" s="40">
        <v>7.6</v>
      </c>
      <c r="P187" s="37"/>
      <c r="Q187" s="37"/>
    </row>
    <row r="188" spans="1:17" x14ac:dyDescent="0.25">
      <c r="B188" s="37">
        <v>1994</v>
      </c>
      <c r="C188" s="94">
        <v>9.1</v>
      </c>
      <c r="D188" s="94">
        <v>8</v>
      </c>
      <c r="E188" s="94">
        <v>10.5</v>
      </c>
      <c r="F188" s="37"/>
      <c r="G188" s="37">
        <f t="shared" si="0"/>
        <v>2.5</v>
      </c>
      <c r="I188" s="40">
        <v>11</v>
      </c>
      <c r="J188" s="40">
        <v>9.5</v>
      </c>
      <c r="K188" s="40">
        <v>12.7</v>
      </c>
      <c r="L188" s="40">
        <v>7.2</v>
      </c>
      <c r="M188" s="40">
        <v>6</v>
      </c>
      <c r="N188" s="40">
        <v>8.3000000000000007</v>
      </c>
      <c r="P188" s="37"/>
      <c r="Q188" s="37"/>
    </row>
    <row r="189" spans="1:17" x14ac:dyDescent="0.25">
      <c r="B189" s="37">
        <v>1995</v>
      </c>
      <c r="C189" s="94">
        <v>9.6999999999999993</v>
      </c>
      <c r="D189" s="94">
        <v>8.5</v>
      </c>
      <c r="E189" s="94">
        <v>11.1</v>
      </c>
      <c r="F189" s="37"/>
      <c r="G189" s="37">
        <f t="shared" si="0"/>
        <v>2.5999999999999996</v>
      </c>
      <c r="I189" s="40">
        <v>11.7</v>
      </c>
      <c r="J189" s="40">
        <v>10.1</v>
      </c>
      <c r="K189" s="40">
        <v>13.6</v>
      </c>
      <c r="L189" s="40">
        <v>7.6</v>
      </c>
      <c r="M189" s="40">
        <v>6.2</v>
      </c>
      <c r="N189" s="40">
        <v>8.6999999999999993</v>
      </c>
      <c r="P189" s="37"/>
      <c r="Q189" s="37"/>
    </row>
    <row r="190" spans="1:17" x14ac:dyDescent="0.25">
      <c r="B190" s="37">
        <v>1996</v>
      </c>
      <c r="C190" s="94">
        <v>9.9</v>
      </c>
      <c r="D190" s="94">
        <v>8.6999999999999993</v>
      </c>
      <c r="E190" s="94">
        <v>11.3</v>
      </c>
      <c r="F190" s="37"/>
      <c r="G190" s="37">
        <f t="shared" si="0"/>
        <v>2.6000000000000014</v>
      </c>
      <c r="I190" s="40">
        <v>12</v>
      </c>
      <c r="J190" s="40">
        <v>10.4</v>
      </c>
      <c r="K190" s="40">
        <v>13.9</v>
      </c>
      <c r="L190" s="40">
        <v>7.7</v>
      </c>
      <c r="M190" s="40">
        <v>6.3</v>
      </c>
      <c r="N190" s="40">
        <v>8.8000000000000007</v>
      </c>
      <c r="P190" s="37"/>
      <c r="Q190" s="37"/>
    </row>
    <row r="191" spans="1:17" x14ac:dyDescent="0.25">
      <c r="B191" s="37">
        <v>1997</v>
      </c>
      <c r="C191" s="94">
        <v>9.8000000000000007</v>
      </c>
      <c r="D191" s="94">
        <v>8.6</v>
      </c>
      <c r="E191" s="94">
        <v>11.3</v>
      </c>
      <c r="F191" s="37"/>
      <c r="G191" s="37">
        <f t="shared" si="0"/>
        <v>2.7000000000000011</v>
      </c>
      <c r="I191" s="40">
        <v>12.1</v>
      </c>
      <c r="J191" s="40">
        <v>10.4</v>
      </c>
      <c r="K191" s="40">
        <v>13.9</v>
      </c>
      <c r="L191" s="40">
        <v>7.6</v>
      </c>
      <c r="M191" s="40">
        <v>6.3</v>
      </c>
      <c r="N191" s="40">
        <v>8.8000000000000007</v>
      </c>
      <c r="P191" s="37"/>
      <c r="Q191" s="37"/>
    </row>
    <row r="192" spans="1:17" x14ac:dyDescent="0.25">
      <c r="B192" s="37">
        <v>1998</v>
      </c>
      <c r="C192" s="94">
        <v>9.6</v>
      </c>
      <c r="D192" s="94">
        <v>8.4</v>
      </c>
      <c r="E192" s="94">
        <v>11</v>
      </c>
      <c r="F192" s="37"/>
      <c r="G192" s="37">
        <f t="shared" si="0"/>
        <v>2.5999999999999996</v>
      </c>
      <c r="I192" s="40">
        <v>11.8</v>
      </c>
      <c r="J192" s="40">
        <v>10.199999999999999</v>
      </c>
      <c r="K192" s="40">
        <v>13.7</v>
      </c>
      <c r="L192" s="40">
        <v>7.4</v>
      </c>
      <c r="M192" s="40">
        <v>6.1</v>
      </c>
      <c r="N192" s="40">
        <v>8.5</v>
      </c>
      <c r="P192" s="37"/>
      <c r="Q192" s="37"/>
    </row>
    <row r="193" spans="2:17" x14ac:dyDescent="0.25">
      <c r="B193" s="37">
        <v>1999</v>
      </c>
      <c r="C193" s="94">
        <v>9.3000000000000007</v>
      </c>
      <c r="D193" s="94">
        <v>8.1999999999999993</v>
      </c>
      <c r="E193" s="94">
        <v>10.6</v>
      </c>
      <c r="F193" s="37"/>
      <c r="G193" s="37">
        <f t="shared" si="0"/>
        <v>2.4000000000000004</v>
      </c>
      <c r="I193" s="40">
        <v>11.5</v>
      </c>
      <c r="J193" s="40">
        <v>9.9</v>
      </c>
      <c r="K193" s="40">
        <v>13.3</v>
      </c>
      <c r="L193" s="40">
        <v>7.1</v>
      </c>
      <c r="M193" s="40">
        <v>5.8</v>
      </c>
      <c r="N193" s="40">
        <v>8.1999999999999993</v>
      </c>
      <c r="P193" s="37"/>
      <c r="Q193" s="37"/>
    </row>
    <row r="194" spans="2:17" x14ac:dyDescent="0.25">
      <c r="B194" s="37">
        <v>2000</v>
      </c>
      <c r="C194" s="94">
        <v>8.9</v>
      </c>
      <c r="D194" s="94">
        <v>7.8</v>
      </c>
      <c r="E194" s="94">
        <v>10.199999999999999</v>
      </c>
      <c r="F194" s="37"/>
      <c r="G194" s="37">
        <f t="shared" si="0"/>
        <v>2.3999999999999995</v>
      </c>
      <c r="I194" s="40">
        <v>11</v>
      </c>
      <c r="J194" s="40">
        <v>9.5</v>
      </c>
      <c r="K194" s="40">
        <v>12.7</v>
      </c>
      <c r="L194" s="40">
        <v>6.7</v>
      </c>
      <c r="M194" s="40">
        <v>5.5</v>
      </c>
      <c r="N194" s="40">
        <v>7.8</v>
      </c>
      <c r="P194" s="37"/>
      <c r="Q194" s="37"/>
    </row>
    <row r="195" spans="2:17" x14ac:dyDescent="0.25">
      <c r="B195" s="37">
        <v>2001</v>
      </c>
      <c r="C195" s="94">
        <v>8.4</v>
      </c>
      <c r="D195" s="94">
        <v>7.4</v>
      </c>
      <c r="E195" s="94">
        <v>9.6</v>
      </c>
      <c r="F195" s="37"/>
      <c r="G195" s="37">
        <f t="shared" si="0"/>
        <v>2.1999999999999993</v>
      </c>
      <c r="I195" s="40">
        <v>10.5</v>
      </c>
      <c r="J195" s="40">
        <v>9</v>
      </c>
      <c r="K195" s="40">
        <v>12.1</v>
      </c>
      <c r="L195" s="40">
        <v>6.3</v>
      </c>
      <c r="M195" s="40">
        <v>5.2</v>
      </c>
      <c r="N195" s="40">
        <v>7.3</v>
      </c>
      <c r="P195" s="37"/>
      <c r="Q195" s="37"/>
    </row>
    <row r="196" spans="2:17" x14ac:dyDescent="0.25">
      <c r="B196" s="37">
        <v>2002</v>
      </c>
      <c r="C196" s="94">
        <v>7.9</v>
      </c>
      <c r="D196" s="94">
        <v>7</v>
      </c>
      <c r="E196" s="94">
        <v>9.1</v>
      </c>
      <c r="F196" s="37"/>
      <c r="G196" s="37">
        <f t="shared" si="0"/>
        <v>2.0999999999999996</v>
      </c>
      <c r="I196" s="40">
        <v>9.9</v>
      </c>
      <c r="J196" s="40">
        <v>8.5</v>
      </c>
      <c r="K196" s="40">
        <v>11.4</v>
      </c>
      <c r="L196" s="40">
        <v>5.9</v>
      </c>
      <c r="M196" s="40">
        <v>4.9000000000000004</v>
      </c>
      <c r="N196" s="40">
        <v>6.8</v>
      </c>
      <c r="P196" s="37"/>
      <c r="Q196" s="37"/>
    </row>
    <row r="197" spans="2:17" x14ac:dyDescent="0.25">
      <c r="B197" s="37">
        <v>2003</v>
      </c>
      <c r="C197" s="94">
        <v>7.5</v>
      </c>
      <c r="D197" s="94">
        <v>6.5</v>
      </c>
      <c r="E197" s="94">
        <v>8.5</v>
      </c>
      <c r="F197" s="37"/>
      <c r="G197" s="37">
        <f t="shared" si="0"/>
        <v>2</v>
      </c>
      <c r="I197" s="40">
        <v>9.3000000000000007</v>
      </c>
      <c r="J197" s="40">
        <v>8</v>
      </c>
      <c r="K197" s="40">
        <v>10.8</v>
      </c>
      <c r="L197" s="40">
        <v>5.5</v>
      </c>
      <c r="M197" s="40">
        <v>4.5999999999999996</v>
      </c>
      <c r="N197" s="40">
        <v>6.4</v>
      </c>
      <c r="P197" s="37"/>
      <c r="Q197" s="37"/>
    </row>
    <row r="198" spans="2:17" x14ac:dyDescent="0.25">
      <c r="B198" s="37">
        <v>2004</v>
      </c>
      <c r="C198" s="94">
        <v>7</v>
      </c>
      <c r="D198" s="94">
        <v>6.1</v>
      </c>
      <c r="E198" s="94">
        <v>8</v>
      </c>
      <c r="F198" s="37"/>
      <c r="G198" s="37">
        <f t="shared" si="0"/>
        <v>1.9000000000000004</v>
      </c>
      <c r="I198" s="40">
        <v>8.8000000000000007</v>
      </c>
      <c r="J198" s="40">
        <v>7.6</v>
      </c>
      <c r="K198" s="40">
        <v>10.1</v>
      </c>
      <c r="L198" s="40">
        <v>5.2</v>
      </c>
      <c r="M198" s="40">
        <v>4.3</v>
      </c>
      <c r="N198" s="40">
        <v>6</v>
      </c>
      <c r="P198" s="37"/>
      <c r="Q198" s="37"/>
    </row>
    <row r="199" spans="2:17" x14ac:dyDescent="0.25">
      <c r="B199" s="37">
        <v>2005</v>
      </c>
      <c r="C199" s="94">
        <v>6.6</v>
      </c>
      <c r="D199" s="94">
        <v>5.8</v>
      </c>
      <c r="E199" s="94">
        <v>7.6</v>
      </c>
      <c r="F199" s="37"/>
      <c r="G199" s="37">
        <f t="shared" si="0"/>
        <v>1.7999999999999998</v>
      </c>
      <c r="I199" s="40">
        <v>8.3000000000000007</v>
      </c>
      <c r="J199" s="40">
        <v>7.2</v>
      </c>
      <c r="K199" s="40">
        <v>9.6</v>
      </c>
      <c r="L199" s="40">
        <v>4.9000000000000004</v>
      </c>
      <c r="M199" s="40">
        <v>4</v>
      </c>
      <c r="N199" s="40">
        <v>5.7</v>
      </c>
      <c r="P199" s="37"/>
      <c r="Q199" s="37"/>
    </row>
    <row r="200" spans="2:17" x14ac:dyDescent="0.25">
      <c r="B200" s="37">
        <v>2006</v>
      </c>
      <c r="C200" s="94">
        <v>6.3</v>
      </c>
      <c r="D200" s="94">
        <v>5.6</v>
      </c>
      <c r="E200" s="94">
        <v>7.3</v>
      </c>
      <c r="F200" s="37"/>
      <c r="G200" s="37">
        <f t="shared" si="0"/>
        <v>1.7000000000000002</v>
      </c>
      <c r="I200" s="40">
        <v>8</v>
      </c>
      <c r="J200" s="40">
        <v>6.9</v>
      </c>
      <c r="K200" s="40">
        <v>9.1999999999999993</v>
      </c>
      <c r="L200" s="40">
        <v>4.7</v>
      </c>
      <c r="M200" s="40">
        <v>3.9</v>
      </c>
      <c r="N200" s="40">
        <v>5.4</v>
      </c>
      <c r="P200" s="37"/>
      <c r="Q200" s="37"/>
    </row>
    <row r="201" spans="2:17" x14ac:dyDescent="0.25">
      <c r="B201" s="37">
        <v>2007</v>
      </c>
      <c r="C201" s="94">
        <v>6.1</v>
      </c>
      <c r="D201" s="94">
        <v>5.4</v>
      </c>
      <c r="E201" s="94">
        <v>7</v>
      </c>
      <c r="F201" s="37"/>
      <c r="G201" s="37">
        <f t="shared" si="0"/>
        <v>1.5999999999999996</v>
      </c>
      <c r="I201" s="40">
        <v>7.7</v>
      </c>
      <c r="J201" s="40">
        <v>6.6</v>
      </c>
      <c r="K201" s="40">
        <v>8.9</v>
      </c>
      <c r="L201" s="40">
        <v>4.5</v>
      </c>
      <c r="M201" s="40">
        <v>3.7</v>
      </c>
      <c r="N201" s="40">
        <v>5.2</v>
      </c>
      <c r="P201" s="37"/>
      <c r="Q201" s="37"/>
    </row>
    <row r="202" spans="2:17" x14ac:dyDescent="0.25">
      <c r="B202" s="37">
        <v>2008</v>
      </c>
      <c r="C202" s="94">
        <v>6</v>
      </c>
      <c r="D202" s="94">
        <v>5.2</v>
      </c>
      <c r="E202" s="94">
        <v>6.8</v>
      </c>
      <c r="F202" s="37"/>
      <c r="G202" s="37">
        <f t="shared" si="0"/>
        <v>1.5999999999999996</v>
      </c>
      <c r="I202" s="40">
        <v>7.5</v>
      </c>
      <c r="J202" s="40">
        <v>6.4</v>
      </c>
      <c r="K202" s="40">
        <v>8.6</v>
      </c>
      <c r="L202" s="40">
        <v>4.4000000000000004</v>
      </c>
      <c r="M202" s="40">
        <v>3.6</v>
      </c>
      <c r="N202" s="40">
        <v>5.0999999999999996</v>
      </c>
      <c r="P202" s="37"/>
      <c r="Q202" s="37"/>
    </row>
    <row r="203" spans="2:17" x14ac:dyDescent="0.25">
      <c r="B203" s="37">
        <v>2009</v>
      </c>
      <c r="C203" s="94">
        <v>5.8</v>
      </c>
      <c r="D203" s="94">
        <v>5.0999999999999996</v>
      </c>
      <c r="E203" s="94">
        <v>6.7</v>
      </c>
      <c r="F203" s="37"/>
      <c r="G203" s="37">
        <f t="shared" si="0"/>
        <v>1.6000000000000005</v>
      </c>
      <c r="I203" s="40">
        <v>7.3</v>
      </c>
      <c r="J203" s="40">
        <v>6.3</v>
      </c>
      <c r="K203" s="40">
        <v>8.4</v>
      </c>
      <c r="L203" s="40">
        <v>4.3</v>
      </c>
      <c r="M203" s="40">
        <v>3.6</v>
      </c>
      <c r="N203" s="40">
        <v>5</v>
      </c>
      <c r="P203" s="37"/>
      <c r="Q203" s="37"/>
    </row>
    <row r="204" spans="2:17" x14ac:dyDescent="0.25">
      <c r="B204" s="37">
        <v>2010</v>
      </c>
      <c r="C204" s="94">
        <v>5.7</v>
      </c>
      <c r="D204" s="94">
        <v>5</v>
      </c>
      <c r="E204" s="94">
        <v>6.5</v>
      </c>
      <c r="F204" s="37"/>
      <c r="G204" s="37">
        <f t="shared" si="0"/>
        <v>1.5</v>
      </c>
      <c r="I204" s="40">
        <v>7.2</v>
      </c>
      <c r="J204" s="40">
        <v>6.2</v>
      </c>
      <c r="K204" s="40">
        <v>8.3000000000000007</v>
      </c>
      <c r="L204" s="40">
        <v>4.2</v>
      </c>
      <c r="M204" s="40">
        <v>3.5</v>
      </c>
      <c r="N204" s="40">
        <v>4.9000000000000004</v>
      </c>
      <c r="P204" s="37"/>
      <c r="Q204" s="37"/>
    </row>
    <row r="205" spans="2:17" x14ac:dyDescent="0.25">
      <c r="B205" s="37">
        <v>2011</v>
      </c>
      <c r="C205" s="94">
        <v>5.6</v>
      </c>
      <c r="D205" s="94">
        <v>4.9000000000000004</v>
      </c>
      <c r="E205" s="94">
        <v>6.4</v>
      </c>
      <c r="F205" s="37"/>
      <c r="G205" s="37">
        <f t="shared" si="0"/>
        <v>1.5</v>
      </c>
      <c r="I205" s="40">
        <v>7</v>
      </c>
      <c r="J205" s="40">
        <v>6</v>
      </c>
      <c r="K205" s="40">
        <v>8.1</v>
      </c>
      <c r="L205" s="40">
        <v>4.0999999999999996</v>
      </c>
      <c r="M205" s="40">
        <v>3.4</v>
      </c>
      <c r="N205" s="40">
        <v>4.8</v>
      </c>
      <c r="P205" s="37"/>
      <c r="Q205" s="37"/>
    </row>
    <row r="206" spans="2:17" x14ac:dyDescent="0.25">
      <c r="B206" s="37">
        <v>2012</v>
      </c>
      <c r="C206" s="94">
        <v>5.5</v>
      </c>
      <c r="D206" s="94">
        <v>4.8</v>
      </c>
      <c r="E206" s="94">
        <v>6.3</v>
      </c>
      <c r="F206" s="37"/>
      <c r="G206" s="37">
        <f t="shared" si="0"/>
        <v>1.5</v>
      </c>
      <c r="I206" s="40">
        <v>6.9</v>
      </c>
      <c r="J206" s="40">
        <v>5.9</v>
      </c>
      <c r="K206" s="40">
        <v>8</v>
      </c>
      <c r="L206" s="40">
        <v>4</v>
      </c>
      <c r="M206" s="40">
        <v>3.3</v>
      </c>
      <c r="N206" s="40">
        <v>4.7</v>
      </c>
      <c r="P206" s="37"/>
      <c r="Q206" s="37"/>
    </row>
    <row r="207" spans="2:17" x14ac:dyDescent="0.25">
      <c r="B207" s="37">
        <v>2013</v>
      </c>
      <c r="C207" s="94">
        <v>5.4</v>
      </c>
      <c r="D207" s="94">
        <v>4.7</v>
      </c>
      <c r="E207" s="94">
        <v>6.1</v>
      </c>
      <c r="F207" s="37"/>
      <c r="G207" s="37">
        <f t="shared" si="0"/>
        <v>1.3999999999999995</v>
      </c>
      <c r="I207" s="40">
        <v>6.8</v>
      </c>
      <c r="J207" s="40">
        <v>5.8</v>
      </c>
      <c r="K207" s="40">
        <v>7.8</v>
      </c>
      <c r="L207" s="40">
        <v>3.9</v>
      </c>
      <c r="M207" s="40">
        <v>3.2</v>
      </c>
      <c r="N207" s="40">
        <v>4.5</v>
      </c>
      <c r="P207" s="37"/>
      <c r="Q207" s="37"/>
    </row>
    <row r="208" spans="2:17" x14ac:dyDescent="0.25">
      <c r="B208" s="37">
        <v>2014</v>
      </c>
      <c r="C208" s="94">
        <v>5.2</v>
      </c>
      <c r="D208" s="94">
        <v>4.5999999999999996</v>
      </c>
      <c r="E208" s="94">
        <v>6</v>
      </c>
      <c r="F208" s="37"/>
      <c r="G208" s="37">
        <f t="shared" si="0"/>
        <v>1.4000000000000004</v>
      </c>
      <c r="I208" s="40">
        <v>6.7</v>
      </c>
      <c r="J208" s="40">
        <v>5.7</v>
      </c>
      <c r="K208" s="40">
        <v>7.7</v>
      </c>
      <c r="L208" s="40">
        <v>3.8</v>
      </c>
      <c r="M208" s="40">
        <v>3.1</v>
      </c>
      <c r="N208" s="40">
        <v>4.4000000000000004</v>
      </c>
      <c r="P208" s="37"/>
      <c r="Q208" s="37"/>
    </row>
    <row r="209" spans="1:17" x14ac:dyDescent="0.25">
      <c r="B209" s="37">
        <v>2015</v>
      </c>
      <c r="C209" s="94">
        <v>5.0999999999999996</v>
      </c>
      <c r="D209" s="94">
        <v>4.5</v>
      </c>
      <c r="E209" s="94">
        <v>5.9</v>
      </c>
      <c r="F209" s="37"/>
      <c r="G209" s="37">
        <f t="shared" si="0"/>
        <v>1.4000000000000004</v>
      </c>
      <c r="I209" s="40">
        <v>6.5</v>
      </c>
      <c r="J209" s="40">
        <v>5.6</v>
      </c>
      <c r="K209" s="40">
        <v>7.5</v>
      </c>
      <c r="L209" s="40">
        <v>3.7</v>
      </c>
      <c r="M209" s="40">
        <v>3</v>
      </c>
      <c r="N209" s="40">
        <v>4.3</v>
      </c>
      <c r="P209" s="37"/>
      <c r="Q209" s="37"/>
    </row>
    <row r="210" spans="1:17" x14ac:dyDescent="0.25">
      <c r="B210" s="37">
        <v>2016</v>
      </c>
      <c r="C210" s="94">
        <v>5</v>
      </c>
      <c r="D210" s="94">
        <v>4.4000000000000004</v>
      </c>
      <c r="E210" s="94">
        <v>5.7</v>
      </c>
      <c r="F210" s="37"/>
      <c r="G210" s="37">
        <f t="shared" si="0"/>
        <v>1.2999999999999998</v>
      </c>
      <c r="I210" s="40">
        <v>6.4</v>
      </c>
      <c r="J210" s="40">
        <v>5.5</v>
      </c>
      <c r="K210" s="40">
        <v>7.4</v>
      </c>
      <c r="L210" s="40">
        <v>3.6</v>
      </c>
      <c r="M210" s="40">
        <v>2.9</v>
      </c>
      <c r="N210" s="40">
        <v>4.0999999999999996</v>
      </c>
      <c r="P210" s="37"/>
      <c r="Q210" s="37"/>
    </row>
    <row r="211" spans="1:17" x14ac:dyDescent="0.25">
      <c r="B211" s="37">
        <v>2017</v>
      </c>
      <c r="C211" s="94">
        <v>4.8</v>
      </c>
      <c r="D211" s="94">
        <v>4.2</v>
      </c>
      <c r="E211" s="94">
        <v>5.5</v>
      </c>
      <c r="F211" s="37"/>
      <c r="G211" s="37">
        <f t="shared" si="0"/>
        <v>1.2999999999999998</v>
      </c>
      <c r="I211" s="40">
        <v>6.2</v>
      </c>
      <c r="J211" s="40">
        <v>5.3</v>
      </c>
      <c r="K211" s="40">
        <v>7.2</v>
      </c>
      <c r="L211" s="40">
        <v>3.4</v>
      </c>
      <c r="M211" s="40">
        <v>2.8</v>
      </c>
      <c r="N211" s="40">
        <v>4</v>
      </c>
      <c r="P211" s="37"/>
      <c r="Q211" s="37"/>
    </row>
    <row r="212" spans="1:17" x14ac:dyDescent="0.25">
      <c r="B212" s="37">
        <v>2018</v>
      </c>
      <c r="C212" s="94">
        <v>4.7</v>
      </c>
      <c r="D212" s="94">
        <v>4.0999999999999996</v>
      </c>
      <c r="E212" s="94">
        <v>5.3</v>
      </c>
      <c r="F212" s="37"/>
      <c r="G212" s="37">
        <f t="shared" si="0"/>
        <v>1.2000000000000002</v>
      </c>
      <c r="I212" s="40">
        <v>6</v>
      </c>
      <c r="J212" s="40">
        <v>5.2</v>
      </c>
      <c r="K212" s="40">
        <v>7</v>
      </c>
      <c r="L212" s="40">
        <v>3.3</v>
      </c>
      <c r="M212" s="40">
        <v>2.7</v>
      </c>
      <c r="N212" s="40">
        <v>3.8</v>
      </c>
      <c r="P212" s="37"/>
      <c r="Q212" s="37"/>
    </row>
    <row r="213" spans="1:17" x14ac:dyDescent="0.25">
      <c r="B213">
        <v>2019</v>
      </c>
      <c r="C213" s="94">
        <v>4.5</v>
      </c>
      <c r="D213" s="94">
        <v>4</v>
      </c>
      <c r="E213" s="94">
        <v>5.2</v>
      </c>
      <c r="G213" s="93">
        <f t="shared" si="0"/>
        <v>1.2000000000000002</v>
      </c>
      <c r="I213">
        <v>5.8</v>
      </c>
      <c r="J213">
        <v>5</v>
      </c>
      <c r="K213" s="37">
        <v>6.7</v>
      </c>
      <c r="L213">
        <v>3.2</v>
      </c>
      <c r="M213">
        <v>2.6</v>
      </c>
      <c r="N213">
        <v>3.6</v>
      </c>
    </row>
    <row r="214" spans="1:17" x14ac:dyDescent="0.25">
      <c r="A214" t="s">
        <v>1378</v>
      </c>
    </row>
    <row r="215" spans="1:17" x14ac:dyDescent="0.25">
      <c r="C215" t="s">
        <v>222</v>
      </c>
      <c r="F215" t="s">
        <v>223</v>
      </c>
      <c r="I215" t="s">
        <v>1381</v>
      </c>
    </row>
    <row r="216" spans="1:17" x14ac:dyDescent="0.25">
      <c r="B216" t="s">
        <v>246</v>
      </c>
      <c r="C216" t="s">
        <v>107</v>
      </c>
      <c r="D216" t="s">
        <v>575</v>
      </c>
      <c r="E216" t="s">
        <v>576</v>
      </c>
      <c r="F216" t="s">
        <v>429</v>
      </c>
      <c r="G216" t="s">
        <v>575</v>
      </c>
      <c r="H216" t="s">
        <v>576</v>
      </c>
      <c r="I216" t="s">
        <v>107</v>
      </c>
      <c r="J216" t="s">
        <v>575</v>
      </c>
      <c r="K216" t="s">
        <v>576</v>
      </c>
    </row>
    <row r="217" spans="1:17" x14ac:dyDescent="0.25">
      <c r="B217" s="22" t="s">
        <v>494</v>
      </c>
      <c r="C217">
        <v>0.2</v>
      </c>
      <c r="F217">
        <v>0.6</v>
      </c>
      <c r="I217">
        <v>0.4</v>
      </c>
      <c r="J217">
        <v>0.1</v>
      </c>
      <c r="K217">
        <v>0.6</v>
      </c>
    </row>
    <row r="218" spans="1:17" x14ac:dyDescent="0.25">
      <c r="B218" s="22" t="s">
        <v>459</v>
      </c>
      <c r="C218">
        <v>1.1000000000000001</v>
      </c>
      <c r="F218">
        <v>0.5</v>
      </c>
    </row>
    <row r="219" spans="1:17" x14ac:dyDescent="0.25">
      <c r="B219" s="22" t="s">
        <v>338</v>
      </c>
      <c r="C219">
        <v>0.8</v>
      </c>
      <c r="F219">
        <v>1.3</v>
      </c>
      <c r="I219">
        <v>1.1000000000000001</v>
      </c>
      <c r="J219">
        <v>0.5</v>
      </c>
      <c r="K219">
        <v>1.6</v>
      </c>
    </row>
    <row r="220" spans="1:17" x14ac:dyDescent="0.25">
      <c r="B220" s="89" t="s">
        <v>137</v>
      </c>
      <c r="C220">
        <v>1.2</v>
      </c>
      <c r="F220">
        <v>0.5</v>
      </c>
    </row>
    <row r="221" spans="1:17" x14ac:dyDescent="0.25">
      <c r="B221" s="89" t="s">
        <v>138</v>
      </c>
      <c r="C221">
        <v>3.4</v>
      </c>
      <c r="F221">
        <v>0.6</v>
      </c>
    </row>
    <row r="222" spans="1:17" x14ac:dyDescent="0.25">
      <c r="B222" s="89" t="s">
        <v>139</v>
      </c>
      <c r="C222">
        <v>6</v>
      </c>
      <c r="F222">
        <v>2.2000000000000002</v>
      </c>
    </row>
    <row r="223" spans="1:17" x14ac:dyDescent="0.25">
      <c r="B223" s="89" t="s">
        <v>140</v>
      </c>
      <c r="C223">
        <v>9.5</v>
      </c>
      <c r="F223">
        <v>3.2</v>
      </c>
    </row>
    <row r="224" spans="1:17" x14ac:dyDescent="0.25">
      <c r="B224" s="89" t="s">
        <v>141</v>
      </c>
      <c r="C224">
        <v>8.6999999999999993</v>
      </c>
      <c r="F224">
        <v>4.3</v>
      </c>
    </row>
    <row r="225" spans="2:11" x14ac:dyDescent="0.25">
      <c r="B225" s="89" t="s">
        <v>142</v>
      </c>
      <c r="C225">
        <v>11.9</v>
      </c>
      <c r="D225">
        <v>9.6999999999999993</v>
      </c>
      <c r="E225">
        <v>14.1</v>
      </c>
      <c r="F225">
        <v>6.3</v>
      </c>
    </row>
    <row r="226" spans="2:11" x14ac:dyDescent="0.25">
      <c r="B226" s="89" t="s">
        <v>143</v>
      </c>
      <c r="C226">
        <v>10.6</v>
      </c>
      <c r="F226">
        <v>8.3000000000000007</v>
      </c>
      <c r="G226">
        <v>5.8</v>
      </c>
      <c r="H226">
        <v>10.7</v>
      </c>
      <c r="I226">
        <v>9.4</v>
      </c>
      <c r="J226">
        <v>7.8</v>
      </c>
      <c r="K226">
        <v>11.1</v>
      </c>
    </row>
    <row r="227" spans="2:11" x14ac:dyDescent="0.25">
      <c r="B227" t="s">
        <v>392</v>
      </c>
      <c r="C227">
        <v>11.7</v>
      </c>
      <c r="D227">
        <v>8.8000000000000007</v>
      </c>
      <c r="E227">
        <v>14.5</v>
      </c>
      <c r="F227">
        <v>6.6</v>
      </c>
    </row>
    <row r="228" spans="2:11" x14ac:dyDescent="0.25">
      <c r="B228" t="s">
        <v>535</v>
      </c>
      <c r="C228">
        <v>9</v>
      </c>
      <c r="F228">
        <v>5.9</v>
      </c>
    </row>
    <row r="229" spans="2:11" x14ac:dyDescent="0.25">
      <c r="B229" t="s">
        <v>536</v>
      </c>
      <c r="C229">
        <v>6.2</v>
      </c>
      <c r="F229">
        <v>5.6</v>
      </c>
    </row>
    <row r="230" spans="2:11" x14ac:dyDescent="0.25">
      <c r="B230" t="s">
        <v>1379</v>
      </c>
      <c r="C230">
        <v>6.2</v>
      </c>
      <c r="D230">
        <v>5.7</v>
      </c>
      <c r="E230">
        <v>6.8</v>
      </c>
      <c r="F230">
        <v>2.7</v>
      </c>
      <c r="G230">
        <v>2.4</v>
      </c>
      <c r="H230">
        <v>3.1</v>
      </c>
    </row>
    <row r="231" spans="2:11" x14ac:dyDescent="0.25">
      <c r="B231" t="s">
        <v>1380</v>
      </c>
      <c r="C231">
        <v>6.6</v>
      </c>
      <c r="D231">
        <v>6</v>
      </c>
      <c r="E231">
        <v>7.1</v>
      </c>
      <c r="F231">
        <v>3.1</v>
      </c>
      <c r="G231">
        <v>2.7</v>
      </c>
      <c r="H231">
        <v>3.5</v>
      </c>
      <c r="I231">
        <v>4.9000000000000004</v>
      </c>
      <c r="J231">
        <v>4.5</v>
      </c>
      <c r="K231">
        <v>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19" workbookViewId="0">
      <selection activeCell="K35" sqref="K35"/>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c r="R10">
        <f>I7/100</f>
        <v>6.0599999999999994E-2</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10" x14ac:dyDescent="0.25">
      <c r="B34" t="s">
        <v>1440</v>
      </c>
      <c r="G34" t="s">
        <v>1439</v>
      </c>
    </row>
    <row r="35" spans="1:10" x14ac:dyDescent="0.25">
      <c r="C35" t="s">
        <v>456</v>
      </c>
      <c r="D35" t="s">
        <v>455</v>
      </c>
      <c r="E35" t="s">
        <v>787</v>
      </c>
      <c r="F35" t="s">
        <v>672</v>
      </c>
      <c r="G35" s="93" t="s">
        <v>456</v>
      </c>
      <c r="H35" s="93" t="s">
        <v>455</v>
      </c>
      <c r="I35" s="93" t="s">
        <v>787</v>
      </c>
      <c r="J35" s="93" t="s">
        <v>672</v>
      </c>
    </row>
    <row r="36" spans="1:10" x14ac:dyDescent="0.25">
      <c r="B36" t="s">
        <v>155</v>
      </c>
      <c r="C36">
        <f>(D7+K7)/2/100</f>
        <v>0.15164999999999998</v>
      </c>
      <c r="D36">
        <f>AVERAGE(F7,M7)/100</f>
        <v>5.7300000000000004E-2</v>
      </c>
      <c r="E36">
        <f>AVERAGE(H7,O7)/100</f>
        <v>5.244999999999999E-2</v>
      </c>
      <c r="F36">
        <f>AVERAGE(I7,P7)/100</f>
        <v>5.2150000000000002E-2</v>
      </c>
      <c r="G36">
        <f>AVERAGE(D25,K25)/100</f>
        <v>3.2800000000000003E-2</v>
      </c>
      <c r="H36">
        <f>AVERAGE(F25,M25)/100</f>
        <v>1.6200000000000003E-2</v>
      </c>
      <c r="I36">
        <f>AVERAGE(H25,O25)/100</f>
        <v>2.5999999999999995E-2</v>
      </c>
      <c r="J36">
        <f>AVERAGE(I25,P25)/100</f>
        <v>1.1600000000000001E-2</v>
      </c>
    </row>
    <row r="37" spans="1:10" x14ac:dyDescent="0.25">
      <c r="B37" t="s">
        <v>550</v>
      </c>
      <c r="C37">
        <f>AVERAGE(D9,K9)/100</f>
        <v>0.16164999999999999</v>
      </c>
      <c r="D37">
        <f>AVERAGE(F9,M9)/100</f>
        <v>6.1099999999999995E-2</v>
      </c>
      <c r="E37">
        <f>AVERAGE(H9,O9)/100</f>
        <v>5.5899999999999998E-2</v>
      </c>
      <c r="F37">
        <f>AVERAGE(I9,P9)/100</f>
        <v>5.5600000000000004E-2</v>
      </c>
      <c r="G37">
        <f>AVERAGE(D27,K27)/100</f>
        <v>2.3799999999999998E-2</v>
      </c>
      <c r="H37">
        <f>AVERAGE(F27,M27)/100</f>
        <v>1.175E-2</v>
      </c>
      <c r="I37">
        <f>AVERAGE(H27,O27)/100</f>
        <v>1.89E-2</v>
      </c>
      <c r="J37">
        <f>AVERAGE(I27,P27)/100</f>
        <v>8.3999999999999995E-3</v>
      </c>
    </row>
    <row r="38" spans="1:10" x14ac:dyDescent="0.25">
      <c r="B38" t="s">
        <v>577</v>
      </c>
      <c r="C38">
        <f>AVERAGE(D11,K11)/100</f>
        <v>0.18114999999999998</v>
      </c>
      <c r="D38">
        <f>AVERAGE(F11,M11)/100</f>
        <v>6.8499999999999991E-2</v>
      </c>
      <c r="E38">
        <f>AVERAGE(H11,O11)/100</f>
        <v>6.2650000000000011E-2</v>
      </c>
      <c r="F38">
        <f>AVERAGE(I11,P11)/100</f>
        <v>6.2300000000000001E-2</v>
      </c>
      <c r="G38">
        <f>AVERAGE(D29,K29)/100</f>
        <v>2.2850000000000002E-2</v>
      </c>
      <c r="H38">
        <f>AVERAGE(F29,M29)/100</f>
        <v>1.125E-2</v>
      </c>
      <c r="I38">
        <f>AVERAGE(H29,O29)/100</f>
        <v>1.8149999999999999E-2</v>
      </c>
      <c r="J38">
        <f>AVERAGE(I29,P29)/100</f>
        <v>8.1000000000000013E-3</v>
      </c>
    </row>
    <row r="39" spans="1:10" x14ac:dyDescent="0.25">
      <c r="B39" t="s">
        <v>964</v>
      </c>
      <c r="C39">
        <f>AVERAGE(D13,K13)/100</f>
        <v>0.24345</v>
      </c>
      <c r="D39">
        <f>AVERAGE(F13,M13)/100</f>
        <v>9.2050000000000007E-2</v>
      </c>
      <c r="E39">
        <f>AVERAGE(H13,O13)/100</f>
        <v>8.4199999999999997E-2</v>
      </c>
      <c r="F39">
        <f>AVERAGE(I13,P13)/100</f>
        <v>8.3700000000000011E-2</v>
      </c>
      <c r="G39">
        <f>AVERAGE(D31,K31)/100</f>
        <v>2.7050000000000001E-2</v>
      </c>
      <c r="H39">
        <f>AVERAGE(F31,M31)/100</f>
        <v>1.3349999999999999E-2</v>
      </c>
      <c r="I39">
        <f>AVERAGE(H31,O31)/100</f>
        <v>2.145E-2</v>
      </c>
      <c r="J39">
        <f>AVERAGE(I31,P31)/100</f>
        <v>9.5500000000000012E-3</v>
      </c>
    </row>
    <row r="41" spans="1:10" x14ac:dyDescent="0.25">
      <c r="A41" s="2" t="s">
        <v>967</v>
      </c>
    </row>
    <row r="42" spans="1:10" x14ac:dyDescent="0.25">
      <c r="B42" t="s">
        <v>966</v>
      </c>
    </row>
    <row r="43" spans="1:10" x14ac:dyDescent="0.25">
      <c r="B43" t="s">
        <v>965</v>
      </c>
    </row>
    <row r="45" spans="1:10" x14ac:dyDescent="0.25">
      <c r="A45" s="2" t="s">
        <v>968</v>
      </c>
    </row>
    <row r="46" spans="1:10" x14ac:dyDescent="0.25">
      <c r="B46" t="s">
        <v>969</v>
      </c>
    </row>
    <row r="47" spans="1:10" x14ac:dyDescent="0.25">
      <c r="C47" t="s">
        <v>973</v>
      </c>
      <c r="D47" t="s">
        <v>974</v>
      </c>
      <c r="E47" t="s">
        <v>975</v>
      </c>
    </row>
    <row r="48" spans="1:10"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1231</v>
      </c>
    </row>
    <row r="72" spans="1:11" x14ac:dyDescent="0.25">
      <c r="B72" t="s">
        <v>1236</v>
      </c>
    </row>
    <row r="73" spans="1:11" x14ac:dyDescent="0.25">
      <c r="C73" t="s">
        <v>1237</v>
      </c>
    </row>
    <row r="74" spans="1:11" x14ac:dyDescent="0.25">
      <c r="B74" t="s">
        <v>196</v>
      </c>
      <c r="C74" t="s">
        <v>561</v>
      </c>
      <c r="D74" t="s">
        <v>1232</v>
      </c>
      <c r="E74" t="s">
        <v>1233</v>
      </c>
      <c r="F74" t="s">
        <v>1234</v>
      </c>
      <c r="I74" t="s">
        <v>1235</v>
      </c>
      <c r="J74" t="s">
        <v>1238</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topLeftCell="F7" workbookViewId="0">
      <selection activeCell="I105" sqref="I105"/>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D3" s="37" t="s">
        <v>1377</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24" x14ac:dyDescent="0.25">
      <c r="B17" t="s">
        <v>438</v>
      </c>
      <c r="C17" s="18">
        <v>0.45900000000000002</v>
      </c>
      <c r="D17" s="18">
        <v>0.39300000000000002</v>
      </c>
      <c r="E17" s="18">
        <v>0.14799999999999999</v>
      </c>
      <c r="H17" t="s">
        <v>1096</v>
      </c>
      <c r="I17">
        <v>157000</v>
      </c>
    </row>
    <row r="18" spans="1:24" x14ac:dyDescent="0.25">
      <c r="H18" t="s">
        <v>1097</v>
      </c>
      <c r="I18">
        <f>I17/I16</f>
        <v>0.47720364741641336</v>
      </c>
      <c r="X18">
        <f>152/407</f>
        <v>0.37346437346437344</v>
      </c>
    </row>
    <row r="19" spans="1:24" x14ac:dyDescent="0.25">
      <c r="B19" t="s">
        <v>1089</v>
      </c>
      <c r="H19" t="s">
        <v>1098</v>
      </c>
      <c r="I19">
        <v>122000</v>
      </c>
    </row>
    <row r="20" spans="1:24" x14ac:dyDescent="0.25">
      <c r="B20" t="s">
        <v>442</v>
      </c>
      <c r="C20" s="18">
        <v>0.754</v>
      </c>
      <c r="H20" t="s">
        <v>1099</v>
      </c>
      <c r="I20">
        <f>I19/I17</f>
        <v>0.77707006369426757</v>
      </c>
    </row>
    <row r="21" spans="1:24" x14ac:dyDescent="0.25">
      <c r="B21" t="s">
        <v>443</v>
      </c>
      <c r="C21" s="18">
        <v>0.246</v>
      </c>
    </row>
    <row r="23" spans="1:24" s="37" customFormat="1" x14ac:dyDescent="0.25">
      <c r="C23" s="18"/>
    </row>
    <row r="24" spans="1:24" s="37" customFormat="1" x14ac:dyDescent="0.25">
      <c r="A24" s="2" t="s">
        <v>1124</v>
      </c>
      <c r="C24" s="18"/>
    </row>
    <row r="25" spans="1:24" s="37" customFormat="1" x14ac:dyDescent="0.25">
      <c r="B25" s="37" t="s">
        <v>1172</v>
      </c>
      <c r="C25" s="18" t="s">
        <v>1125</v>
      </c>
      <c r="D25" s="37" t="s">
        <v>1126</v>
      </c>
      <c r="E25" s="37" t="s">
        <v>1127</v>
      </c>
      <c r="F25" s="37" t="s">
        <v>1173</v>
      </c>
      <c r="G25" s="18" t="s">
        <v>1125</v>
      </c>
      <c r="H25" s="37" t="s">
        <v>1174</v>
      </c>
      <c r="I25" s="37" t="s">
        <v>1127</v>
      </c>
    </row>
    <row r="26" spans="1:24" s="37" customFormat="1" x14ac:dyDescent="0.25">
      <c r="B26" s="37">
        <v>2008</v>
      </c>
      <c r="C26" s="16">
        <v>237881</v>
      </c>
      <c r="F26" s="37">
        <v>2008</v>
      </c>
      <c r="G26" s="4">
        <v>230059</v>
      </c>
    </row>
    <row r="27" spans="1:24" s="37" customFormat="1" x14ac:dyDescent="0.25">
      <c r="B27" s="37">
        <v>2009</v>
      </c>
      <c r="C27" s="16">
        <v>336980</v>
      </c>
      <c r="D27" s="4">
        <v>1462629</v>
      </c>
      <c r="E27" s="7">
        <f>C27/D27*100</f>
        <v>23.03933533384064</v>
      </c>
      <c r="F27" s="37">
        <v>2009</v>
      </c>
      <c r="G27" s="4">
        <v>315558</v>
      </c>
      <c r="H27" s="4">
        <v>1220112</v>
      </c>
      <c r="I27" s="7">
        <f>G27/H27*100</f>
        <v>25.863035524607575</v>
      </c>
    </row>
    <row r="28" spans="1:24" s="37" customFormat="1" x14ac:dyDescent="0.25">
      <c r="B28" s="37">
        <v>2010</v>
      </c>
      <c r="C28" s="16">
        <v>468717</v>
      </c>
      <c r="D28" s="4">
        <v>1493165</v>
      </c>
      <c r="E28" s="7">
        <f>C28/D28*100</f>
        <v>31.39083758325436</v>
      </c>
      <c r="F28" s="37">
        <v>2010</v>
      </c>
      <c r="G28" s="4">
        <v>396525</v>
      </c>
      <c r="H28" s="4">
        <v>1262116</v>
      </c>
      <c r="I28" s="7">
        <f>G28/H28*100</f>
        <v>31.417476682016549</v>
      </c>
    </row>
    <row r="29" spans="1:24" s="37" customFormat="1" x14ac:dyDescent="0.25">
      <c r="B29" s="37">
        <v>2011</v>
      </c>
      <c r="C29" s="16">
        <v>538983</v>
      </c>
      <c r="D29" s="4">
        <v>1525851</v>
      </c>
      <c r="E29" s="7">
        <f>C29/D29*100</f>
        <v>35.323435905602842</v>
      </c>
      <c r="F29" s="37">
        <v>2011</v>
      </c>
      <c r="G29" s="4">
        <v>490437</v>
      </c>
      <c r="H29" s="4">
        <v>1310147</v>
      </c>
      <c r="I29" s="7">
        <f>G29/H29*100</f>
        <v>37.433738351497965</v>
      </c>
    </row>
    <row r="30" spans="1:24" s="37" customFormat="1" x14ac:dyDescent="0.25">
      <c r="B30" s="37">
        <v>2012</v>
      </c>
      <c r="C30" s="16">
        <v>604000</v>
      </c>
      <c r="D30" s="4">
        <v>1560446</v>
      </c>
      <c r="E30" s="7">
        <f>C30/D30*100</f>
        <v>38.706882519484815</v>
      </c>
      <c r="F30" s="37">
        <v>2012</v>
      </c>
      <c r="G30" s="4">
        <v>548561</v>
      </c>
      <c r="H30" s="4">
        <v>1356540</v>
      </c>
      <c r="I30" s="7">
        <f>G30/H30*100</f>
        <v>40.438247305645241</v>
      </c>
    </row>
    <row r="31" spans="1:24" s="37" customFormat="1" x14ac:dyDescent="0.25">
      <c r="B31" s="37">
        <v>2013</v>
      </c>
      <c r="C31" s="4">
        <v>656359</v>
      </c>
      <c r="D31" s="4">
        <v>1592342</v>
      </c>
      <c r="E31" s="7">
        <f>C31/D31*100</f>
        <v>41.219725410747188</v>
      </c>
      <c r="F31" s="37">
        <v>2013</v>
      </c>
      <c r="G31" s="4">
        <v>596228</v>
      </c>
      <c r="H31" s="4">
        <v>1402212</v>
      </c>
      <c r="I31" s="7">
        <f>G31/H31*100</f>
        <v>42.520531845398558</v>
      </c>
    </row>
    <row r="32" spans="1:24" s="37" customFormat="1" x14ac:dyDescent="0.25">
      <c r="C32" s="16"/>
    </row>
    <row r="33" spans="1:26" x14ac:dyDescent="0.25">
      <c r="A33" s="2" t="s">
        <v>470</v>
      </c>
      <c r="W33" s="37"/>
      <c r="X33" s="37"/>
      <c r="Y33" s="37"/>
      <c r="Z33" s="4"/>
    </row>
    <row r="34" spans="1:26" x14ac:dyDescent="0.25">
      <c r="C34" s="96">
        <v>2015</v>
      </c>
      <c r="D34" s="96"/>
      <c r="E34" s="96"/>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6" spans="2:19" s="89" customFormat="1" x14ac:dyDescent="0.25">
      <c r="B96" s="89">
        <v>2000</v>
      </c>
      <c r="C96" s="89">
        <v>2001</v>
      </c>
      <c r="D96" s="89">
        <v>2002</v>
      </c>
      <c r="E96" s="89">
        <v>2003</v>
      </c>
      <c r="F96" s="89">
        <v>2004</v>
      </c>
      <c r="G96" s="89">
        <v>2005</v>
      </c>
      <c r="H96" s="89">
        <v>2006</v>
      </c>
      <c r="I96" s="89">
        <v>2007</v>
      </c>
      <c r="J96" s="89">
        <v>2008</v>
      </c>
      <c r="K96" s="89">
        <v>2009</v>
      </c>
      <c r="L96" s="89">
        <v>2010</v>
      </c>
      <c r="M96" s="89">
        <v>2011</v>
      </c>
      <c r="N96" s="89">
        <v>2012</v>
      </c>
      <c r="O96" s="89">
        <v>2013</v>
      </c>
      <c r="P96" s="89">
        <v>2014</v>
      </c>
      <c r="Q96" s="89">
        <v>2015</v>
      </c>
      <c r="R96" s="89">
        <v>2016</v>
      </c>
      <c r="S96" s="89">
        <v>2017</v>
      </c>
    </row>
    <row r="97" spans="1:19" s="89" customFormat="1" x14ac:dyDescent="0.25">
      <c r="A97" s="89" t="s">
        <v>1399</v>
      </c>
      <c r="B97" s="4">
        <v>552747</v>
      </c>
      <c r="C97" s="4">
        <v>539472</v>
      </c>
      <c r="D97" s="4">
        <v>522498</v>
      </c>
      <c r="E97" s="4">
        <v>503607</v>
      </c>
      <c r="F97" s="4">
        <v>485009</v>
      </c>
      <c r="G97" s="4">
        <v>470141</v>
      </c>
      <c r="H97" s="4">
        <v>460882</v>
      </c>
      <c r="I97" s="4">
        <v>459027</v>
      </c>
      <c r="J97" s="4">
        <v>461691</v>
      </c>
      <c r="K97" s="4">
        <v>467608</v>
      </c>
      <c r="L97" s="4">
        <v>475609</v>
      </c>
      <c r="M97" s="4">
        <v>487060</v>
      </c>
      <c r="N97" s="4">
        <v>497223</v>
      </c>
      <c r="O97" s="4">
        <v>504456</v>
      </c>
      <c r="P97" s="4">
        <v>509772</v>
      </c>
      <c r="Q97" s="4">
        <v>514349</v>
      </c>
      <c r="R97" s="4">
        <v>520311</v>
      </c>
      <c r="S97" s="4">
        <v>523569</v>
      </c>
    </row>
    <row r="98" spans="1:19" s="89" customFormat="1" x14ac:dyDescent="0.25">
      <c r="A98" s="89" t="s">
        <v>1400</v>
      </c>
      <c r="B98" s="89">
        <v>0</v>
      </c>
      <c r="C98" s="89">
        <v>0</v>
      </c>
      <c r="D98" s="89">
        <v>0</v>
      </c>
      <c r="E98" s="89">
        <v>0</v>
      </c>
      <c r="F98" s="4">
        <v>10981</v>
      </c>
      <c r="G98" s="4">
        <v>23800</v>
      </c>
      <c r="H98" s="4">
        <v>52971</v>
      </c>
      <c r="I98" s="4">
        <v>74023</v>
      </c>
      <c r="J98" s="4">
        <v>101203</v>
      </c>
      <c r="K98" s="4">
        <v>138541</v>
      </c>
      <c r="L98" s="4">
        <v>172209</v>
      </c>
      <c r="M98" s="4">
        <v>166748</v>
      </c>
      <c r="N98" s="4">
        <v>186509</v>
      </c>
      <c r="O98" s="4">
        <v>196756</v>
      </c>
      <c r="P98" s="4">
        <v>217548</v>
      </c>
      <c r="Q98" s="4">
        <v>262207</v>
      </c>
      <c r="R98" s="4">
        <v>290771</v>
      </c>
      <c r="S98" s="4">
        <v>322104</v>
      </c>
    </row>
    <row r="99" spans="1:19" s="89" customFormat="1" x14ac:dyDescent="0.25">
      <c r="A99" s="89" t="s">
        <v>1401</v>
      </c>
      <c r="B99" s="90">
        <f>B98/B97*100</f>
        <v>0</v>
      </c>
      <c r="C99" s="90">
        <f t="shared" ref="C99:S99" si="4">C98/C97*100</f>
        <v>0</v>
      </c>
      <c r="D99" s="90">
        <f t="shared" si="4"/>
        <v>0</v>
      </c>
      <c r="E99" s="90">
        <f t="shared" si="4"/>
        <v>0</v>
      </c>
      <c r="F99" s="90">
        <f t="shared" si="4"/>
        <v>2.2640816974530371</v>
      </c>
      <c r="G99" s="90">
        <f t="shared" si="4"/>
        <v>5.0623110939058709</v>
      </c>
      <c r="H99" s="90">
        <f t="shared" si="4"/>
        <v>11.493397442295425</v>
      </c>
      <c r="I99" s="90">
        <f t="shared" si="4"/>
        <v>16.126066658388286</v>
      </c>
      <c r="J99" s="90">
        <f t="shared" si="4"/>
        <v>21.920072082843287</v>
      </c>
      <c r="K99" s="90">
        <f t="shared" si="4"/>
        <v>29.62759405313853</v>
      </c>
      <c r="L99" s="90">
        <f t="shared" si="4"/>
        <v>36.208103715446931</v>
      </c>
      <c r="M99" s="90">
        <f t="shared" si="4"/>
        <v>34.235617788362831</v>
      </c>
      <c r="N99" s="90">
        <f t="shared" si="4"/>
        <v>37.51013126906841</v>
      </c>
      <c r="O99" s="90">
        <f t="shared" si="4"/>
        <v>39.003599917534935</v>
      </c>
      <c r="P99" s="90">
        <f t="shared" si="4"/>
        <v>42.675549068995551</v>
      </c>
      <c r="Q99" s="90">
        <f t="shared" si="4"/>
        <v>50.978421266494159</v>
      </c>
      <c r="R99" s="90">
        <f t="shared" si="4"/>
        <v>55.884077023164991</v>
      </c>
      <c r="S99" s="90">
        <f t="shared" si="4"/>
        <v>61.520831065246419</v>
      </c>
    </row>
    <row r="100" spans="1:19" s="89" customFormat="1" x14ac:dyDescent="0.25">
      <c r="A100" s="89" t="s">
        <v>1402</v>
      </c>
      <c r="B100" s="89">
        <f>0.75 * B99</f>
        <v>0</v>
      </c>
      <c r="C100" s="89">
        <f t="shared" ref="C100:E100" si="5">0.75 * C99</f>
        <v>0</v>
      </c>
      <c r="D100" s="89">
        <f t="shared" si="5"/>
        <v>0</v>
      </c>
      <c r="E100" s="89">
        <f t="shared" si="5"/>
        <v>0</v>
      </c>
      <c r="F100" s="90">
        <f>F99 * 0.5</f>
        <v>1.1320408487265186</v>
      </c>
      <c r="G100" s="90">
        <f t="shared" ref="G100:K100" si="6">G99 * 0.5</f>
        <v>2.5311555469529354</v>
      </c>
      <c r="H100" s="90">
        <f t="shared" si="6"/>
        <v>5.7466987211477125</v>
      </c>
      <c r="I100" s="90">
        <f t="shared" si="6"/>
        <v>8.063033329194143</v>
      </c>
      <c r="J100" s="90">
        <f t="shared" si="6"/>
        <v>10.960036041421644</v>
      </c>
      <c r="K100" s="90">
        <f t="shared" si="6"/>
        <v>14.813797026569265</v>
      </c>
      <c r="L100" s="90">
        <f>L99*0.6</f>
        <v>21.724862229268158</v>
      </c>
      <c r="M100" s="90">
        <f>M99*0.65</f>
        <v>22.253151562435839</v>
      </c>
      <c r="N100" s="90">
        <f>0.75 * N99</f>
        <v>28.132598451801307</v>
      </c>
      <c r="O100" s="90">
        <f t="shared" ref="O100:S100" si="7">0.75 * O99</f>
        <v>29.252699938151203</v>
      </c>
      <c r="P100" s="90">
        <f t="shared" si="7"/>
        <v>32.00666180174666</v>
      </c>
      <c r="Q100" s="90">
        <f t="shared" si="7"/>
        <v>38.233815949870618</v>
      </c>
      <c r="R100" s="90">
        <f t="shared" si="7"/>
        <v>41.913057767373743</v>
      </c>
      <c r="S100" s="90">
        <f t="shared" si="7"/>
        <v>46.140623298934813</v>
      </c>
    </row>
    <row r="101" spans="1:19" s="89" customFormat="1" x14ac:dyDescent="0.25"/>
    <row r="102" spans="1:19" s="89" customFormat="1" x14ac:dyDescent="0.25">
      <c r="A102" s="89" t="s">
        <v>1403</v>
      </c>
      <c r="B102" s="4">
        <v>886519</v>
      </c>
      <c r="C102" s="4">
        <v>871216</v>
      </c>
      <c r="D102" s="4">
        <v>850026</v>
      </c>
      <c r="E102" s="4">
        <v>825607</v>
      </c>
      <c r="F102" s="4">
        <v>801308</v>
      </c>
      <c r="G102" s="4">
        <v>781848</v>
      </c>
      <c r="H102" s="4">
        <v>770022</v>
      </c>
      <c r="I102" s="4">
        <v>768383</v>
      </c>
      <c r="J102" s="4">
        <v>772916</v>
      </c>
      <c r="K102" s="4">
        <v>782556</v>
      </c>
      <c r="L102" s="4">
        <v>741420</v>
      </c>
      <c r="M102" s="4">
        <v>755510</v>
      </c>
      <c r="N102" s="4">
        <v>774885</v>
      </c>
      <c r="O102" s="4">
        <v>795451</v>
      </c>
      <c r="P102" s="4">
        <v>815221</v>
      </c>
      <c r="Q102" s="4">
        <v>833594</v>
      </c>
      <c r="R102" s="4">
        <v>851109</v>
      </c>
      <c r="S102" s="4">
        <v>864599</v>
      </c>
    </row>
    <row r="103" spans="1:19" s="89" customFormat="1" x14ac:dyDescent="0.25">
      <c r="A103" s="89" t="s">
        <v>1404</v>
      </c>
      <c r="B103" s="89">
        <v>0</v>
      </c>
      <c r="C103" s="89">
        <v>0</v>
      </c>
      <c r="D103" s="89">
        <v>0</v>
      </c>
      <c r="E103" s="89">
        <v>0</v>
      </c>
      <c r="F103" s="4">
        <v>13979</v>
      </c>
      <c r="G103" s="4">
        <v>30293</v>
      </c>
      <c r="H103" s="4">
        <v>67418</v>
      </c>
      <c r="I103" s="4">
        <v>94211</v>
      </c>
      <c r="J103" s="4">
        <v>128856</v>
      </c>
      <c r="K103" s="4">
        <v>177018</v>
      </c>
      <c r="L103" s="4">
        <v>224317</v>
      </c>
      <c r="M103" s="4">
        <v>323689</v>
      </c>
      <c r="N103" s="4">
        <v>362050</v>
      </c>
      <c r="O103" s="4">
        <v>399472</v>
      </c>
      <c r="P103" s="4">
        <v>471608</v>
      </c>
      <c r="Q103" s="4">
        <v>563890</v>
      </c>
      <c r="R103" s="4">
        <v>649395</v>
      </c>
      <c r="S103" s="4">
        <v>713511</v>
      </c>
    </row>
    <row r="104" spans="1:19" s="89" customFormat="1" x14ac:dyDescent="0.25">
      <c r="A104" s="89" t="s">
        <v>1405</v>
      </c>
      <c r="B104" s="89">
        <f>B103/B102*100</f>
        <v>0</v>
      </c>
      <c r="C104" s="89">
        <f t="shared" ref="C104:S104" si="8">C103/C102*100</f>
        <v>0</v>
      </c>
      <c r="D104" s="89">
        <f t="shared" si="8"/>
        <v>0</v>
      </c>
      <c r="E104" s="89">
        <f t="shared" si="8"/>
        <v>0</v>
      </c>
      <c r="F104" s="90">
        <f t="shared" si="8"/>
        <v>1.7445227053767092</v>
      </c>
      <c r="G104" s="90">
        <f t="shared" si="8"/>
        <v>3.8745382734239908</v>
      </c>
      <c r="H104" s="90">
        <f t="shared" si="8"/>
        <v>8.7553342631768967</v>
      </c>
      <c r="I104" s="90">
        <f t="shared" si="8"/>
        <v>12.260942785043397</v>
      </c>
      <c r="J104" s="90">
        <f t="shared" si="8"/>
        <v>16.671410606068449</v>
      </c>
      <c r="K104" s="90">
        <f t="shared" si="8"/>
        <v>22.620489779645162</v>
      </c>
      <c r="L104" s="90">
        <f t="shared" si="8"/>
        <v>30.255051118124683</v>
      </c>
      <c r="M104" s="90">
        <f t="shared" si="8"/>
        <v>42.84377440404495</v>
      </c>
      <c r="N104" s="90">
        <f t="shared" si="8"/>
        <v>46.723062131800205</v>
      </c>
      <c r="O104" s="90">
        <f t="shared" si="8"/>
        <v>50.219560978614652</v>
      </c>
      <c r="P104" s="90">
        <f t="shared" si="8"/>
        <v>57.850325249226898</v>
      </c>
      <c r="Q104" s="90">
        <f t="shared" si="8"/>
        <v>67.645640443669222</v>
      </c>
      <c r="R104" s="90">
        <f t="shared" si="8"/>
        <v>76.299862884777397</v>
      </c>
      <c r="S104" s="90">
        <f t="shared" si="8"/>
        <v>82.525078099789624</v>
      </c>
    </row>
    <row r="105" spans="1:19" s="89" customFormat="1" x14ac:dyDescent="0.25">
      <c r="A105" s="89" t="s">
        <v>1402</v>
      </c>
      <c r="B105" s="89">
        <f>0.75 *B104</f>
        <v>0</v>
      </c>
      <c r="C105" s="89">
        <f t="shared" ref="C105:E105" si="9">0.75 *C104</f>
        <v>0</v>
      </c>
      <c r="D105" s="89">
        <f t="shared" si="9"/>
        <v>0</v>
      </c>
      <c r="E105" s="89">
        <f t="shared" si="9"/>
        <v>0</v>
      </c>
      <c r="F105" s="90">
        <f>F104*0.6</f>
        <v>1.0467136232260255</v>
      </c>
      <c r="G105" s="90">
        <v>2.9059037050679932</v>
      </c>
      <c r="H105" s="90">
        <v>6.5665006973826721</v>
      </c>
      <c r="I105" s="90">
        <v>9.1957070887825481</v>
      </c>
      <c r="J105" s="90">
        <v>12.503557954551336</v>
      </c>
      <c r="K105" s="90">
        <v>16.96536733473387</v>
      </c>
      <c r="L105" s="90">
        <f>L104*0.65</f>
        <v>19.665783226781045</v>
      </c>
      <c r="M105" s="90">
        <f>M104*0.65</f>
        <v>27.848453362629218</v>
      </c>
      <c r="N105" s="90">
        <f t="shared" ref="N105:R105" si="10">N104*0.75</f>
        <v>35.042296598850157</v>
      </c>
      <c r="O105" s="90">
        <f t="shared" si="10"/>
        <v>37.664670733960989</v>
      </c>
      <c r="P105" s="90">
        <f t="shared" si="10"/>
        <v>43.387743936920174</v>
      </c>
      <c r="Q105" s="90">
        <f t="shared" si="10"/>
        <v>50.73423033275192</v>
      </c>
      <c r="R105" s="90">
        <f t="shared" si="10"/>
        <v>57.224897163583051</v>
      </c>
      <c r="S105" s="90">
        <f>S104*0.75</f>
        <v>61.893808574842218</v>
      </c>
    </row>
    <row r="106" spans="1:19" s="89" customFormat="1" x14ac:dyDescent="0.25"/>
    <row r="107" spans="1:19" s="89" customFormat="1" x14ac:dyDescent="0.25">
      <c r="A107" s="89" t="s">
        <v>1406</v>
      </c>
    </row>
    <row r="108" spans="1:19" s="89" customFormat="1" x14ac:dyDescent="0.25"/>
    <row r="109" spans="1:19" x14ac:dyDescent="0.25">
      <c r="N109" s="16">
        <f>0.38*N97</f>
        <v>188944.74</v>
      </c>
      <c r="O109" s="16"/>
    </row>
    <row r="110" spans="1:19" x14ac:dyDescent="0.25">
      <c r="A110" s="2" t="s">
        <v>1014</v>
      </c>
      <c r="N110" s="16">
        <f>0.38*N102</f>
        <v>294456.3</v>
      </c>
    </row>
    <row r="111" spans="1:19" x14ac:dyDescent="0.25">
      <c r="B111" t="s">
        <v>614</v>
      </c>
      <c r="Q111">
        <f>K105/K104</f>
        <v>0.74999999999999989</v>
      </c>
    </row>
    <row r="112" spans="1:19" x14ac:dyDescent="0.25">
      <c r="B112" t="s">
        <v>196</v>
      </c>
      <c r="C112" t="s">
        <v>215</v>
      </c>
      <c r="D112" t="s">
        <v>575</v>
      </c>
      <c r="E112" t="s">
        <v>576</v>
      </c>
      <c r="F112" s="37" t="s">
        <v>217</v>
      </c>
      <c r="G112" s="37" t="s">
        <v>575</v>
      </c>
      <c r="H112" s="37" t="s">
        <v>576</v>
      </c>
      <c r="J112" t="s">
        <v>1139</v>
      </c>
    </row>
    <row r="113" spans="1:11" x14ac:dyDescent="0.25">
      <c r="B113">
        <v>2015</v>
      </c>
      <c r="C113">
        <v>66</v>
      </c>
      <c r="D113">
        <v>56</v>
      </c>
      <c r="E113">
        <v>79</v>
      </c>
      <c r="F113">
        <v>51</v>
      </c>
      <c r="G113">
        <v>43</v>
      </c>
      <c r="H113">
        <v>62</v>
      </c>
      <c r="J113">
        <f>C113* 0.754</f>
        <v>49.764000000000003</v>
      </c>
      <c r="K113">
        <f>F113*0.754</f>
        <v>38.454000000000001</v>
      </c>
    </row>
    <row r="114" spans="1:11" x14ac:dyDescent="0.25">
      <c r="B114">
        <v>2016</v>
      </c>
      <c r="C114">
        <v>74</v>
      </c>
      <c r="D114">
        <v>63</v>
      </c>
      <c r="E114">
        <v>89</v>
      </c>
      <c r="F114">
        <v>56</v>
      </c>
      <c r="G114">
        <v>47</v>
      </c>
      <c r="H114">
        <v>68</v>
      </c>
      <c r="J114" s="37">
        <f>C114* 0.8</f>
        <v>59.2</v>
      </c>
      <c r="K114">
        <f>F114*0.8</f>
        <v>44.800000000000004</v>
      </c>
    </row>
    <row r="115" spans="1:11" x14ac:dyDescent="0.25">
      <c r="B115">
        <v>2017</v>
      </c>
      <c r="C115">
        <v>80</v>
      </c>
      <c r="D115">
        <v>68</v>
      </c>
      <c r="E115">
        <v>95</v>
      </c>
      <c r="F115">
        <v>61</v>
      </c>
      <c r="G115">
        <v>52</v>
      </c>
      <c r="H115">
        <v>74</v>
      </c>
      <c r="J115" s="37">
        <f>C115* 0.85</f>
        <v>68</v>
      </c>
      <c r="K115">
        <f>F115*0.85</f>
        <v>51.85</v>
      </c>
    </row>
    <row r="116" spans="1:11" x14ac:dyDescent="0.25">
      <c r="B116">
        <v>2018</v>
      </c>
      <c r="C116">
        <v>75</v>
      </c>
      <c r="D116">
        <v>64</v>
      </c>
      <c r="E116">
        <v>90</v>
      </c>
      <c r="F116">
        <v>59</v>
      </c>
      <c r="G116">
        <v>50</v>
      </c>
      <c r="H116">
        <v>71</v>
      </c>
      <c r="J116">
        <f>C116*0.906</f>
        <v>67.95</v>
      </c>
      <c r="K116">
        <f>F116*0.909</f>
        <v>53.631</v>
      </c>
    </row>
    <row r="118" spans="1:11" x14ac:dyDescent="0.25">
      <c r="A118" s="2" t="s">
        <v>1102</v>
      </c>
    </row>
    <row r="119" spans="1:11" x14ac:dyDescent="0.25">
      <c r="B119" t="s">
        <v>1103</v>
      </c>
    </row>
    <row r="120" spans="1:11" x14ac:dyDescent="0.25">
      <c r="B120" t="s">
        <v>1104</v>
      </c>
      <c r="C120" t="s">
        <v>106</v>
      </c>
      <c r="D120" t="s">
        <v>595</v>
      </c>
      <c r="E120" t="s">
        <v>575</v>
      </c>
      <c r="F120" t="s">
        <v>576</v>
      </c>
      <c r="G120" t="s">
        <v>1105</v>
      </c>
    </row>
    <row r="121" spans="1:11" x14ac:dyDescent="0.25">
      <c r="B121" t="s">
        <v>473</v>
      </c>
      <c r="C121">
        <v>116</v>
      </c>
      <c r="D121">
        <v>78.7</v>
      </c>
      <c r="E121">
        <v>66.599999999999994</v>
      </c>
      <c r="F121">
        <v>90.7</v>
      </c>
      <c r="G121">
        <f>((D121*C121)+(D122*C122)+(D123*C123)+(D124*C124)+(D125*C125)+(D126*C126))/(SUM(C121:C126))</f>
        <v>78.838034865293181</v>
      </c>
    </row>
    <row r="122" spans="1:11" x14ac:dyDescent="0.25">
      <c r="B122" t="s">
        <v>472</v>
      </c>
      <c r="C122">
        <v>134</v>
      </c>
      <c r="D122">
        <v>83.2</v>
      </c>
      <c r="E122">
        <v>75.5</v>
      </c>
      <c r="F122">
        <v>90.9</v>
      </c>
    </row>
    <row r="123" spans="1:11" x14ac:dyDescent="0.25">
      <c r="B123" t="s">
        <v>471</v>
      </c>
      <c r="C123">
        <v>170</v>
      </c>
      <c r="D123">
        <v>83.8</v>
      </c>
      <c r="E123">
        <v>77.8</v>
      </c>
      <c r="F123">
        <v>89.9</v>
      </c>
    </row>
    <row r="124" spans="1:11" x14ac:dyDescent="0.25">
      <c r="B124" t="s">
        <v>474</v>
      </c>
      <c r="C124">
        <v>139</v>
      </c>
      <c r="D124">
        <v>76.8</v>
      </c>
      <c r="E124">
        <v>67.900000000000006</v>
      </c>
      <c r="F124">
        <v>85.6</v>
      </c>
    </row>
    <row r="125" spans="1:11" x14ac:dyDescent="0.25">
      <c r="B125" t="s">
        <v>480</v>
      </c>
      <c r="C125">
        <v>46</v>
      </c>
      <c r="D125">
        <v>60.2</v>
      </c>
      <c r="E125">
        <v>49.9</v>
      </c>
      <c r="F125">
        <v>70.5</v>
      </c>
    </row>
    <row r="126" spans="1:11" x14ac:dyDescent="0.25">
      <c r="B126" t="s">
        <v>481</v>
      </c>
      <c r="C126">
        <v>26</v>
      </c>
      <c r="D126">
        <v>68.400000000000006</v>
      </c>
      <c r="E126">
        <v>41.9</v>
      </c>
      <c r="F126">
        <v>94.8</v>
      </c>
    </row>
    <row r="127" spans="1:11" x14ac:dyDescent="0.25">
      <c r="B127" t="s">
        <v>266</v>
      </c>
      <c r="C127">
        <v>53</v>
      </c>
      <c r="D127">
        <v>72.8</v>
      </c>
      <c r="E127">
        <v>61.5</v>
      </c>
      <c r="F127">
        <v>84.1</v>
      </c>
    </row>
    <row r="128" spans="1:11" x14ac:dyDescent="0.25">
      <c r="B128" t="s">
        <v>28</v>
      </c>
      <c r="C128">
        <v>1523</v>
      </c>
      <c r="D128">
        <v>71.599999999999994</v>
      </c>
      <c r="E128">
        <v>68.8</v>
      </c>
      <c r="F128">
        <v>74.400000000000006</v>
      </c>
    </row>
    <row r="130" spans="2:5" x14ac:dyDescent="0.25">
      <c r="B130" t="s">
        <v>1106</v>
      </c>
    </row>
    <row r="131" spans="2:5" x14ac:dyDescent="0.25">
      <c r="C131" t="s">
        <v>222</v>
      </c>
      <c r="D131" t="s">
        <v>223</v>
      </c>
    </row>
    <row r="132" spans="2:5" x14ac:dyDescent="0.25">
      <c r="B132" t="s">
        <v>1107</v>
      </c>
      <c r="C132">
        <v>53.5</v>
      </c>
      <c r="D132">
        <v>43.8</v>
      </c>
    </row>
    <row r="133" spans="2:5" x14ac:dyDescent="0.25">
      <c r="B133" t="s">
        <v>155</v>
      </c>
      <c r="C133">
        <v>59</v>
      </c>
      <c r="D133" s="31" t="s">
        <v>530</v>
      </c>
    </row>
    <row r="134" spans="2:5" x14ac:dyDescent="0.25">
      <c r="B134" t="s">
        <v>550</v>
      </c>
      <c r="C134">
        <v>70.8</v>
      </c>
      <c r="D134">
        <v>52.6</v>
      </c>
    </row>
    <row r="135" spans="2:5" x14ac:dyDescent="0.25">
      <c r="B135" t="s">
        <v>1108</v>
      </c>
      <c r="C135">
        <v>77</v>
      </c>
      <c r="D135">
        <v>65</v>
      </c>
    </row>
    <row r="136" spans="2:5" x14ac:dyDescent="0.25">
      <c r="B136" t="s">
        <v>578</v>
      </c>
      <c r="C136">
        <v>83</v>
      </c>
      <c r="D136">
        <v>72.8</v>
      </c>
    </row>
    <row r="137" spans="2:5" x14ac:dyDescent="0.25">
      <c r="B137" t="s">
        <v>1109</v>
      </c>
      <c r="C137">
        <v>85.1</v>
      </c>
      <c r="D137">
        <v>81.599999999999994</v>
      </c>
    </row>
    <row r="139" spans="2:5" x14ac:dyDescent="0.25">
      <c r="B139" t="s">
        <v>1110</v>
      </c>
    </row>
    <row r="140" spans="2:5" x14ac:dyDescent="0.25">
      <c r="C140" t="s">
        <v>1114</v>
      </c>
      <c r="D140" t="s">
        <v>1115</v>
      </c>
      <c r="E140" t="s">
        <v>1111</v>
      </c>
    </row>
    <row r="141" spans="2:5" x14ac:dyDescent="0.25">
      <c r="B141" t="s">
        <v>1107</v>
      </c>
      <c r="C141">
        <v>78.900000000000006</v>
      </c>
      <c r="D141">
        <v>93.2</v>
      </c>
      <c r="E141">
        <v>67.099999999999994</v>
      </c>
    </row>
    <row r="142" spans="2:5" x14ac:dyDescent="0.25">
      <c r="B142" t="s">
        <v>1112</v>
      </c>
      <c r="C142">
        <v>82.7</v>
      </c>
      <c r="D142">
        <v>96.6</v>
      </c>
      <c r="E142">
        <v>90.6</v>
      </c>
    </row>
    <row r="143" spans="2:5" x14ac:dyDescent="0.25">
      <c r="B143" t="s">
        <v>1113</v>
      </c>
      <c r="C143">
        <v>72.599999999999994</v>
      </c>
      <c r="D143">
        <v>94.5</v>
      </c>
      <c r="E143">
        <v>90.9</v>
      </c>
    </row>
    <row r="145" spans="1:5" x14ac:dyDescent="0.25">
      <c r="B145" t="s">
        <v>1121</v>
      </c>
    </row>
    <row r="146" spans="1:5" x14ac:dyDescent="0.25">
      <c r="B146" s="37"/>
      <c r="C146" s="37" t="s">
        <v>1114</v>
      </c>
      <c r="D146" s="37" t="s">
        <v>1115</v>
      </c>
      <c r="E146" s="37" t="s">
        <v>1111</v>
      </c>
    </row>
    <row r="147" spans="1:5" x14ac:dyDescent="0.25">
      <c r="B147" s="37" t="s">
        <v>1107</v>
      </c>
      <c r="C147" s="37">
        <v>78.900000000000006</v>
      </c>
      <c r="D147" s="8">
        <f>D141*C141/100</f>
        <v>73.534800000000004</v>
      </c>
      <c r="E147" s="8">
        <f>D147*E141/100</f>
        <v>49.341850800000003</v>
      </c>
    </row>
    <row r="148" spans="1:5" x14ac:dyDescent="0.25">
      <c r="B148" s="37" t="s">
        <v>1112</v>
      </c>
      <c r="C148" s="37">
        <v>82.7</v>
      </c>
      <c r="D148" s="8">
        <f>D142*C142/100</f>
        <v>79.888199999999998</v>
      </c>
      <c r="E148" s="8">
        <f>E142*D148/100</f>
        <v>72.378709199999989</v>
      </c>
    </row>
    <row r="149" spans="1:5" x14ac:dyDescent="0.25">
      <c r="B149" s="37" t="s">
        <v>1113</v>
      </c>
      <c r="C149" s="37">
        <v>72.599999999999994</v>
      </c>
      <c r="D149" s="8">
        <f>D143*C143/100</f>
        <v>68.606999999999999</v>
      </c>
      <c r="E149" s="8">
        <f>E143*D149/100</f>
        <v>62.363762999999999</v>
      </c>
    </row>
    <row r="151" spans="1:5" x14ac:dyDescent="0.25">
      <c r="A151" s="2" t="s">
        <v>1128</v>
      </c>
    </row>
    <row r="167" spans="1:1" x14ac:dyDescent="0.25">
      <c r="A167" s="2" t="s">
        <v>1129</v>
      </c>
    </row>
    <row r="168" spans="1:1" x14ac:dyDescent="0.25">
      <c r="A168" s="32" t="s">
        <v>1130</v>
      </c>
    </row>
    <row r="171" spans="1:1" x14ac:dyDescent="0.25">
      <c r="A171" s="2" t="s">
        <v>1131</v>
      </c>
    </row>
    <row r="201" spans="2:14" x14ac:dyDescent="0.25">
      <c r="B201" t="s">
        <v>196</v>
      </c>
      <c r="C201" t="s">
        <v>1133</v>
      </c>
      <c r="D201" t="s">
        <v>1132</v>
      </c>
      <c r="E201" t="s">
        <v>1093</v>
      </c>
      <c r="H201" s="37"/>
      <c r="I201" s="37"/>
      <c r="J201" s="37"/>
      <c r="K201" s="37"/>
      <c r="L201" s="37"/>
      <c r="M201" s="37"/>
      <c r="N201" s="37"/>
    </row>
    <row r="202" spans="2:14" x14ac:dyDescent="0.25">
      <c r="B202">
        <v>2003</v>
      </c>
      <c r="C202" s="37">
        <v>8205</v>
      </c>
      <c r="D202">
        <v>0</v>
      </c>
      <c r="E202">
        <f t="shared" ref="E202:E207" si="11">D202/C202*100</f>
        <v>0</v>
      </c>
      <c r="H202" s="37"/>
      <c r="I202" s="37"/>
      <c r="J202" s="37"/>
      <c r="K202" s="37"/>
      <c r="L202" s="37"/>
      <c r="M202" s="37"/>
      <c r="N202" s="37"/>
    </row>
    <row r="203" spans="2:14" x14ac:dyDescent="0.25">
      <c r="B203">
        <v>2004</v>
      </c>
      <c r="C203" s="37">
        <v>8311</v>
      </c>
      <c r="D203">
        <v>0</v>
      </c>
      <c r="E203" s="37">
        <f t="shared" si="11"/>
        <v>0</v>
      </c>
      <c r="H203" s="37"/>
      <c r="I203" s="37"/>
      <c r="J203" s="37"/>
      <c r="K203" s="37"/>
      <c r="L203" s="37"/>
      <c r="M203" s="37"/>
      <c r="N203" s="37"/>
    </row>
    <row r="204" spans="2:14" x14ac:dyDescent="0.25">
      <c r="B204" s="37">
        <v>2005</v>
      </c>
      <c r="C204" s="37">
        <v>8373</v>
      </c>
      <c r="D204">
        <v>10</v>
      </c>
      <c r="E204" s="8">
        <f t="shared" si="11"/>
        <v>0.11943150603129105</v>
      </c>
      <c r="J204" s="37"/>
      <c r="K204" s="37"/>
      <c r="L204" s="37"/>
    </row>
    <row r="205" spans="2:14" x14ac:dyDescent="0.25">
      <c r="B205" s="37">
        <v>2006</v>
      </c>
      <c r="C205" s="37">
        <v>8568</v>
      </c>
      <c r="D205">
        <v>93</v>
      </c>
      <c r="E205" s="8">
        <f t="shared" si="11"/>
        <v>1.0854341736694677</v>
      </c>
      <c r="J205" s="37"/>
      <c r="K205" s="37"/>
      <c r="L205" s="37"/>
      <c r="M205" s="37"/>
      <c r="N205" s="37"/>
    </row>
    <row r="206" spans="2:14" x14ac:dyDescent="0.25">
      <c r="B206" s="37">
        <v>2007</v>
      </c>
      <c r="C206">
        <v>8702</v>
      </c>
      <c r="D206">
        <v>412</v>
      </c>
      <c r="E206" s="8">
        <f t="shared" si="11"/>
        <v>4.7345437830383821</v>
      </c>
      <c r="H206" s="37"/>
      <c r="I206" s="37"/>
      <c r="J206" s="37"/>
      <c r="K206" s="37"/>
      <c r="L206" s="37"/>
      <c r="M206" s="37"/>
      <c r="N206" s="37"/>
    </row>
    <row r="207" spans="2:14" x14ac:dyDescent="0.25">
      <c r="B207" s="37">
        <v>2008</v>
      </c>
      <c r="C207" s="37">
        <v>9098</v>
      </c>
      <c r="D207">
        <v>735</v>
      </c>
      <c r="E207" s="8">
        <f t="shared" si="11"/>
        <v>8.0786986150802385</v>
      </c>
      <c r="J207" s="37"/>
      <c r="K207" s="37"/>
      <c r="L207" s="37"/>
      <c r="M207" s="37"/>
      <c r="N207" s="37"/>
    </row>
  </sheetData>
  <mergeCells count="1">
    <mergeCell ref="C34:E34"/>
  </mergeCells>
  <hyperlinks>
    <hyperlink ref="A168"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activeCell="A32" sqref="A2:A32"/>
    </sheetView>
  </sheetViews>
  <sheetFormatPr defaultRowHeight="15" x14ac:dyDescent="0.25"/>
  <cols>
    <col min="2" max="2" width="12.85546875" bestFit="1" customWidth="1"/>
    <col min="3" max="3" width="12.7109375" bestFit="1" customWidth="1"/>
  </cols>
  <sheetData>
    <row r="1" spans="1:25" x14ac:dyDescent="0.25">
      <c r="A1" t="s">
        <v>1409</v>
      </c>
    </row>
    <row r="2" spans="1:25" x14ac:dyDescent="0.25">
      <c r="A2" t="s">
        <v>196</v>
      </c>
      <c r="B2" t="s">
        <v>1416</v>
      </c>
      <c r="C2" t="s">
        <v>1426</v>
      </c>
      <c r="D2" t="s">
        <v>1427</v>
      </c>
      <c r="E2" t="s">
        <v>1410</v>
      </c>
      <c r="F2" s="93" t="s">
        <v>1411</v>
      </c>
      <c r="G2" s="93" t="s">
        <v>1412</v>
      </c>
      <c r="H2" t="s">
        <v>1413</v>
      </c>
      <c r="I2" s="93" t="s">
        <v>1414</v>
      </c>
      <c r="J2" s="93" t="s">
        <v>1415</v>
      </c>
      <c r="K2" t="s">
        <v>1417</v>
      </c>
      <c r="L2" s="93" t="s">
        <v>1418</v>
      </c>
      <c r="M2" s="93" t="s">
        <v>1419</v>
      </c>
      <c r="N2" t="s">
        <v>1420</v>
      </c>
      <c r="O2" s="93" t="s">
        <v>1421</v>
      </c>
      <c r="P2" s="93" t="s">
        <v>1422</v>
      </c>
      <c r="Q2" t="s">
        <v>1423</v>
      </c>
      <c r="R2" s="93" t="s">
        <v>1424</v>
      </c>
      <c r="S2" s="93" t="s">
        <v>1425</v>
      </c>
      <c r="T2" t="s">
        <v>1428</v>
      </c>
      <c r="U2" t="s">
        <v>1429</v>
      </c>
      <c r="V2" t="s">
        <v>1433</v>
      </c>
      <c r="W2" s="93" t="s">
        <v>1430</v>
      </c>
      <c r="X2" s="93" t="s">
        <v>1431</v>
      </c>
      <c r="Y2" s="93" t="s">
        <v>1432</v>
      </c>
    </row>
    <row r="3" spans="1:25" x14ac:dyDescent="0.25">
      <c r="A3" s="95">
        <v>1990</v>
      </c>
      <c r="B3" s="94">
        <v>15.44</v>
      </c>
      <c r="C3" s="94">
        <v>8.98</v>
      </c>
      <c r="D3" s="94">
        <v>24.62</v>
      </c>
      <c r="E3" s="94">
        <v>21.55</v>
      </c>
      <c r="F3" s="94">
        <v>12.02</v>
      </c>
      <c r="G3" s="94">
        <v>35.340000000000003</v>
      </c>
      <c r="H3" s="94">
        <v>9.2899999999999991</v>
      </c>
      <c r="I3" s="94">
        <v>2.16</v>
      </c>
      <c r="J3" s="94">
        <v>15.64</v>
      </c>
      <c r="K3" s="94">
        <v>15.28</v>
      </c>
      <c r="L3" s="94">
        <v>9.8000000000000007</v>
      </c>
      <c r="M3" s="94">
        <v>23.67</v>
      </c>
      <c r="N3" s="94">
        <v>18.39</v>
      </c>
      <c r="O3" s="94">
        <v>11.66</v>
      </c>
      <c r="P3" s="94">
        <v>28.61</v>
      </c>
      <c r="Q3" s="94">
        <v>12.18</v>
      </c>
      <c r="R3" s="94">
        <v>7.73</v>
      </c>
      <c r="S3" s="94">
        <v>19.16</v>
      </c>
      <c r="T3" s="94">
        <v>9.48</v>
      </c>
      <c r="U3" s="94">
        <v>6.09</v>
      </c>
      <c r="V3" s="94">
        <v>14.7</v>
      </c>
      <c r="W3" s="94">
        <v>6.74</v>
      </c>
      <c r="X3" s="94">
        <v>4.28</v>
      </c>
      <c r="Y3" s="94">
        <v>10.65</v>
      </c>
    </row>
    <row r="4" spans="1:25" x14ac:dyDescent="0.25">
      <c r="A4" s="95">
        <v>1991</v>
      </c>
      <c r="B4" s="94">
        <v>17.84</v>
      </c>
      <c r="C4" s="94">
        <v>10.38</v>
      </c>
      <c r="D4" s="94">
        <v>28.44</v>
      </c>
      <c r="E4" s="94">
        <v>25.23</v>
      </c>
      <c r="F4" s="94">
        <v>14.07</v>
      </c>
      <c r="G4" s="94">
        <v>41.35</v>
      </c>
      <c r="H4" s="94">
        <v>10.48</v>
      </c>
      <c r="I4" s="94">
        <v>2.44</v>
      </c>
      <c r="J4" s="94">
        <v>17.649999999999999</v>
      </c>
      <c r="K4" s="94">
        <v>17.68</v>
      </c>
      <c r="L4" s="94">
        <v>11.34</v>
      </c>
      <c r="M4" s="94">
        <v>27.38</v>
      </c>
      <c r="N4" s="94">
        <v>21.56</v>
      </c>
      <c r="O4" s="94">
        <v>13.67</v>
      </c>
      <c r="P4" s="94">
        <v>33.520000000000003</v>
      </c>
      <c r="Q4" s="94">
        <v>13.83</v>
      </c>
      <c r="R4" s="94">
        <v>8.7799999999999994</v>
      </c>
      <c r="S4" s="94">
        <v>21.75</v>
      </c>
      <c r="T4" s="94">
        <v>11.18</v>
      </c>
      <c r="U4" s="94">
        <v>7.18</v>
      </c>
      <c r="V4" s="94">
        <v>17.329999999999998</v>
      </c>
      <c r="W4" s="94">
        <v>7.78</v>
      </c>
      <c r="X4" s="94">
        <v>4.9400000000000004</v>
      </c>
      <c r="Y4" s="94">
        <v>12.29</v>
      </c>
    </row>
    <row r="5" spans="1:25" x14ac:dyDescent="0.25">
      <c r="A5" s="95">
        <v>1992</v>
      </c>
      <c r="B5" s="94">
        <v>19.36</v>
      </c>
      <c r="C5" s="94">
        <v>11.26</v>
      </c>
      <c r="D5" s="94">
        <v>30.87</v>
      </c>
      <c r="E5" s="94">
        <v>27.68</v>
      </c>
      <c r="F5" s="94">
        <v>15.44</v>
      </c>
      <c r="G5" s="94">
        <v>45.38</v>
      </c>
      <c r="H5" s="94">
        <v>11.16</v>
      </c>
      <c r="I5" s="94">
        <v>2.6</v>
      </c>
      <c r="J5" s="94">
        <v>18.79</v>
      </c>
      <c r="K5" s="94">
        <v>19.079999999999998</v>
      </c>
      <c r="L5" s="94">
        <v>12.24</v>
      </c>
      <c r="M5" s="94">
        <v>29.54</v>
      </c>
      <c r="N5" s="94">
        <v>23.54</v>
      </c>
      <c r="O5" s="94">
        <v>14.93</v>
      </c>
      <c r="P5" s="94">
        <v>36.61</v>
      </c>
      <c r="Q5" s="94">
        <v>14.67</v>
      </c>
      <c r="R5" s="94">
        <v>9.3000000000000007</v>
      </c>
      <c r="S5" s="94">
        <v>23.07</v>
      </c>
      <c r="T5" s="94">
        <v>12.32</v>
      </c>
      <c r="U5" s="94">
        <v>7.91</v>
      </c>
      <c r="V5" s="94">
        <v>19.100000000000001</v>
      </c>
      <c r="W5" s="94">
        <v>8.43</v>
      </c>
      <c r="X5" s="94">
        <v>5.36</v>
      </c>
      <c r="Y5" s="94">
        <v>13.32</v>
      </c>
    </row>
    <row r="6" spans="1:25" x14ac:dyDescent="0.25">
      <c r="A6" s="95">
        <v>1993</v>
      </c>
      <c r="B6" s="94">
        <v>19.04</v>
      </c>
      <c r="C6" s="94">
        <v>11.07</v>
      </c>
      <c r="D6" s="94">
        <v>30.36</v>
      </c>
      <c r="E6" s="94">
        <v>27.49</v>
      </c>
      <c r="F6" s="94">
        <v>15.33</v>
      </c>
      <c r="G6" s="94">
        <v>45.06</v>
      </c>
      <c r="H6" s="94">
        <v>10.8</v>
      </c>
      <c r="I6" s="94">
        <v>2.5099999999999998</v>
      </c>
      <c r="J6" s="94">
        <v>18.190000000000001</v>
      </c>
      <c r="K6" s="94">
        <v>18.64</v>
      </c>
      <c r="L6" s="94">
        <v>11.96</v>
      </c>
      <c r="M6" s="94">
        <v>28.87</v>
      </c>
      <c r="N6" s="94">
        <v>23.22</v>
      </c>
      <c r="O6" s="94">
        <v>14.73</v>
      </c>
      <c r="P6" s="94">
        <v>36.119999999999997</v>
      </c>
      <c r="Q6" s="94">
        <v>14.15</v>
      </c>
      <c r="R6" s="94">
        <v>8.98</v>
      </c>
      <c r="S6" s="94">
        <v>22.25</v>
      </c>
      <c r="T6" s="94">
        <v>12.36</v>
      </c>
      <c r="U6" s="94">
        <v>7.94</v>
      </c>
      <c r="V6" s="94">
        <v>19.16</v>
      </c>
      <c r="W6" s="94">
        <v>8.4</v>
      </c>
      <c r="X6" s="94">
        <v>5.34</v>
      </c>
      <c r="Y6" s="94">
        <v>13.27</v>
      </c>
    </row>
    <row r="7" spans="1:25" x14ac:dyDescent="0.25">
      <c r="A7" s="95">
        <v>1994</v>
      </c>
      <c r="B7" s="94">
        <v>17.25</v>
      </c>
      <c r="C7" s="94">
        <v>10.029999999999999</v>
      </c>
      <c r="D7" s="94">
        <v>27.51</v>
      </c>
      <c r="E7" s="94">
        <v>25.09</v>
      </c>
      <c r="F7" s="94">
        <v>14</v>
      </c>
      <c r="G7" s="94">
        <v>41.14</v>
      </c>
      <c r="H7" s="94">
        <v>9.67</v>
      </c>
      <c r="I7" s="94">
        <v>2.25</v>
      </c>
      <c r="J7" s="94">
        <v>16.29</v>
      </c>
      <c r="K7" s="94">
        <v>16.760000000000002</v>
      </c>
      <c r="L7" s="94">
        <v>10.75</v>
      </c>
      <c r="M7" s="94">
        <v>25.96</v>
      </c>
      <c r="N7" s="94">
        <v>21.05</v>
      </c>
      <c r="O7" s="94">
        <v>13.35</v>
      </c>
      <c r="P7" s="94">
        <v>32.729999999999997</v>
      </c>
      <c r="Q7" s="94">
        <v>12.59</v>
      </c>
      <c r="R7" s="94">
        <v>7.99</v>
      </c>
      <c r="S7" s="94">
        <v>19.8</v>
      </c>
      <c r="T7" s="94">
        <v>11.5</v>
      </c>
      <c r="U7" s="94">
        <v>7.38</v>
      </c>
      <c r="V7" s="94">
        <v>17.82</v>
      </c>
      <c r="W7" s="94">
        <v>7.81</v>
      </c>
      <c r="X7" s="94">
        <v>4.96</v>
      </c>
      <c r="Y7" s="94">
        <v>12.34</v>
      </c>
    </row>
    <row r="8" spans="1:25" x14ac:dyDescent="0.25">
      <c r="A8" s="95">
        <v>1995</v>
      </c>
      <c r="B8" s="94">
        <v>14.93</v>
      </c>
      <c r="C8" s="94">
        <v>8.69</v>
      </c>
      <c r="D8" s="94">
        <v>23.81</v>
      </c>
      <c r="E8" s="94">
        <v>21.8</v>
      </c>
      <c r="F8" s="94">
        <v>12.16</v>
      </c>
      <c r="G8" s="94">
        <v>35.729999999999997</v>
      </c>
      <c r="H8" s="94">
        <v>8.34</v>
      </c>
      <c r="I8" s="94">
        <v>1.94</v>
      </c>
      <c r="J8" s="94">
        <v>14.05</v>
      </c>
      <c r="K8" s="94">
        <v>14.37</v>
      </c>
      <c r="L8" s="94">
        <v>9.2200000000000006</v>
      </c>
      <c r="M8" s="94">
        <v>22.25</v>
      </c>
      <c r="N8" s="94">
        <v>18.11</v>
      </c>
      <c r="O8" s="94">
        <v>11.48</v>
      </c>
      <c r="P8" s="94">
        <v>28.16</v>
      </c>
      <c r="Q8" s="94">
        <v>10.74</v>
      </c>
      <c r="R8" s="94">
        <v>6.81</v>
      </c>
      <c r="S8" s="94">
        <v>16.89</v>
      </c>
      <c r="T8" s="94">
        <v>10.24</v>
      </c>
      <c r="U8" s="94">
        <v>6.57</v>
      </c>
      <c r="V8" s="94">
        <v>15.87</v>
      </c>
      <c r="W8" s="94">
        <v>7.03</v>
      </c>
      <c r="X8" s="94">
        <v>4.47</v>
      </c>
      <c r="Y8" s="94">
        <v>11.11</v>
      </c>
    </row>
    <row r="9" spans="1:25" x14ac:dyDescent="0.25">
      <c r="A9" s="95">
        <v>1996</v>
      </c>
      <c r="B9" s="94">
        <v>12.19</v>
      </c>
      <c r="C9" s="94">
        <v>7.09</v>
      </c>
      <c r="D9" s="94">
        <v>19.440000000000001</v>
      </c>
      <c r="E9" s="94">
        <v>17.8</v>
      </c>
      <c r="F9" s="94">
        <v>9.93</v>
      </c>
      <c r="G9" s="94">
        <v>29.18</v>
      </c>
      <c r="H9" s="94">
        <v>6.81</v>
      </c>
      <c r="I9" s="94">
        <v>1.59</v>
      </c>
      <c r="J9" s="94">
        <v>11.47</v>
      </c>
      <c r="K9" s="94">
        <v>11.64</v>
      </c>
      <c r="L9" s="94">
        <v>7.46</v>
      </c>
      <c r="M9" s="94">
        <v>18.02</v>
      </c>
      <c r="N9" s="94">
        <v>14.69</v>
      </c>
      <c r="O9" s="94">
        <v>9.32</v>
      </c>
      <c r="P9" s="94">
        <v>22.85</v>
      </c>
      <c r="Q9" s="94">
        <v>8.68</v>
      </c>
      <c r="R9" s="94">
        <v>5.51</v>
      </c>
      <c r="S9" s="94">
        <v>13.66</v>
      </c>
      <c r="T9" s="94">
        <v>8.6999999999999993</v>
      </c>
      <c r="U9" s="94">
        <v>5.59</v>
      </c>
      <c r="V9" s="94">
        <v>13.48</v>
      </c>
      <c r="W9" s="94">
        <v>6.08</v>
      </c>
      <c r="X9" s="94">
        <v>3.86</v>
      </c>
      <c r="Y9" s="94">
        <v>9.61</v>
      </c>
    </row>
    <row r="10" spans="1:25" x14ac:dyDescent="0.25">
      <c r="A10" s="95">
        <v>1997</v>
      </c>
      <c r="B10" s="94">
        <v>10.07</v>
      </c>
      <c r="C10" s="94">
        <v>5.86</v>
      </c>
      <c r="D10" s="94">
        <v>16.059999999999999</v>
      </c>
      <c r="E10" s="94">
        <v>14.73</v>
      </c>
      <c r="F10" s="94">
        <v>8.2200000000000006</v>
      </c>
      <c r="G10" s="94">
        <v>24.14</v>
      </c>
      <c r="H10" s="94">
        <v>5.6</v>
      </c>
      <c r="I10" s="94">
        <v>1.3</v>
      </c>
      <c r="J10" s="94">
        <v>9.44</v>
      </c>
      <c r="K10" s="94">
        <v>9.5299999999999994</v>
      </c>
      <c r="L10" s="94">
        <v>6.11</v>
      </c>
      <c r="M10" s="94">
        <v>14.76</v>
      </c>
      <c r="N10" s="94">
        <v>12.06</v>
      </c>
      <c r="O10" s="94">
        <v>7.65</v>
      </c>
      <c r="P10" s="94">
        <v>18.760000000000002</v>
      </c>
      <c r="Q10" s="94">
        <v>7.09</v>
      </c>
      <c r="R10" s="94">
        <v>4.5</v>
      </c>
      <c r="S10" s="94">
        <v>11.15</v>
      </c>
      <c r="T10" s="94">
        <v>7.49</v>
      </c>
      <c r="U10" s="94">
        <v>4.8099999999999996</v>
      </c>
      <c r="V10" s="94">
        <v>11.6</v>
      </c>
      <c r="W10" s="94">
        <v>5.31</v>
      </c>
      <c r="X10" s="94">
        <v>3.37</v>
      </c>
      <c r="Y10" s="94">
        <v>8.39</v>
      </c>
    </row>
    <row r="11" spans="1:25" x14ac:dyDescent="0.25">
      <c r="A11" s="95">
        <v>1998</v>
      </c>
      <c r="B11" s="94">
        <v>8.3699999999999992</v>
      </c>
      <c r="C11" s="94">
        <v>4.87</v>
      </c>
      <c r="D11" s="94">
        <v>13.35</v>
      </c>
      <c r="E11" s="94">
        <v>12.21</v>
      </c>
      <c r="F11" s="94">
        <v>6.81</v>
      </c>
      <c r="G11" s="94">
        <v>20.02</v>
      </c>
      <c r="H11" s="94">
        <v>4.67</v>
      </c>
      <c r="I11" s="94">
        <v>1.0900000000000001</v>
      </c>
      <c r="J11" s="94">
        <v>7.87</v>
      </c>
      <c r="K11" s="94">
        <v>7.89</v>
      </c>
      <c r="L11" s="94">
        <v>5.0599999999999996</v>
      </c>
      <c r="M11" s="94">
        <v>12.21</v>
      </c>
      <c r="N11" s="94">
        <v>9.9700000000000006</v>
      </c>
      <c r="O11" s="94">
        <v>6.32</v>
      </c>
      <c r="P11" s="94">
        <v>15.51</v>
      </c>
      <c r="Q11" s="94">
        <v>5.87</v>
      </c>
      <c r="R11" s="94">
        <v>3.73</v>
      </c>
      <c r="S11" s="94">
        <v>9.24</v>
      </c>
      <c r="T11" s="94">
        <v>6.48</v>
      </c>
      <c r="U11" s="94">
        <v>4.16</v>
      </c>
      <c r="V11" s="94">
        <v>10.050000000000001</v>
      </c>
      <c r="W11" s="94">
        <v>4.68</v>
      </c>
      <c r="X11" s="94">
        <v>2.97</v>
      </c>
      <c r="Y11" s="94">
        <v>7.39</v>
      </c>
    </row>
    <row r="12" spans="1:25" x14ac:dyDescent="0.25">
      <c r="A12" s="95">
        <v>1999</v>
      </c>
      <c r="B12" s="94">
        <v>7.23</v>
      </c>
      <c r="C12" s="94">
        <v>4.21</v>
      </c>
      <c r="D12" s="94">
        <v>11.53</v>
      </c>
      <c r="E12" s="94">
        <v>10.52</v>
      </c>
      <c r="F12" s="94">
        <v>5.87</v>
      </c>
      <c r="G12" s="94">
        <v>17.25</v>
      </c>
      <c r="H12" s="94">
        <v>4.04</v>
      </c>
      <c r="I12" s="94">
        <v>0.94</v>
      </c>
      <c r="J12" s="94">
        <v>6.8</v>
      </c>
      <c r="K12" s="94">
        <v>6.79</v>
      </c>
      <c r="L12" s="94">
        <v>4.3499999999999996</v>
      </c>
      <c r="M12" s="94">
        <v>10.51</v>
      </c>
      <c r="N12" s="94">
        <v>8.59</v>
      </c>
      <c r="O12" s="94">
        <v>5.44</v>
      </c>
      <c r="P12" s="94">
        <v>13.35</v>
      </c>
      <c r="Q12" s="94">
        <v>5.0599999999999996</v>
      </c>
      <c r="R12" s="94">
        <v>3.21</v>
      </c>
      <c r="S12" s="94">
        <v>7.95</v>
      </c>
      <c r="T12" s="94">
        <v>5.78</v>
      </c>
      <c r="U12" s="94">
        <v>3.71</v>
      </c>
      <c r="V12" s="94">
        <v>8.9600000000000009</v>
      </c>
      <c r="W12" s="94">
        <v>4.21</v>
      </c>
      <c r="X12" s="94">
        <v>2.68</v>
      </c>
      <c r="Y12" s="94">
        <v>6.66</v>
      </c>
    </row>
    <row r="13" spans="1:25" x14ac:dyDescent="0.25">
      <c r="A13" s="95">
        <v>2000</v>
      </c>
      <c r="B13" s="94">
        <v>6.33</v>
      </c>
      <c r="C13" s="94">
        <v>3.68</v>
      </c>
      <c r="D13" s="94">
        <v>10.09</v>
      </c>
      <c r="E13" s="94">
        <v>9.18</v>
      </c>
      <c r="F13" s="94">
        <v>5.12</v>
      </c>
      <c r="G13" s="94">
        <v>15.04</v>
      </c>
      <c r="H13" s="94">
        <v>3.54</v>
      </c>
      <c r="I13" s="94">
        <v>0.83</v>
      </c>
      <c r="J13" s="94">
        <v>5.97</v>
      </c>
      <c r="K13" s="94">
        <v>5.93</v>
      </c>
      <c r="L13" s="94">
        <v>3.8</v>
      </c>
      <c r="M13" s="94">
        <v>9.18</v>
      </c>
      <c r="N13" s="94">
        <v>7.49</v>
      </c>
      <c r="O13" s="94">
        <v>4.75</v>
      </c>
      <c r="P13" s="94">
        <v>11.65</v>
      </c>
      <c r="Q13" s="94">
        <v>4.42</v>
      </c>
      <c r="R13" s="94">
        <v>2.81</v>
      </c>
      <c r="S13" s="94">
        <v>6.96</v>
      </c>
      <c r="T13" s="94">
        <v>5.19</v>
      </c>
      <c r="U13" s="94">
        <v>3.34</v>
      </c>
      <c r="V13" s="94">
        <v>8.0500000000000007</v>
      </c>
      <c r="W13" s="94">
        <v>3.82</v>
      </c>
      <c r="X13" s="94">
        <v>2.4300000000000002</v>
      </c>
      <c r="Y13" s="94">
        <v>6.04</v>
      </c>
    </row>
    <row r="14" spans="1:25" x14ac:dyDescent="0.25">
      <c r="A14" s="95">
        <v>2001</v>
      </c>
      <c r="B14" s="94">
        <v>5.6</v>
      </c>
      <c r="C14" s="94">
        <v>3.26</v>
      </c>
      <c r="D14" s="94">
        <v>8.93</v>
      </c>
      <c r="E14" s="94">
        <v>8.1</v>
      </c>
      <c r="F14" s="94">
        <v>4.5199999999999996</v>
      </c>
      <c r="G14" s="94">
        <v>13.28</v>
      </c>
      <c r="H14" s="94">
        <v>3.14</v>
      </c>
      <c r="I14" s="94">
        <v>0.73</v>
      </c>
      <c r="J14" s="94">
        <v>5.29</v>
      </c>
      <c r="K14" s="94">
        <v>5.26</v>
      </c>
      <c r="L14" s="94">
        <v>3.37</v>
      </c>
      <c r="M14" s="94">
        <v>8.15</v>
      </c>
      <c r="N14" s="94">
        <v>6.65</v>
      </c>
      <c r="O14" s="94">
        <v>4.21</v>
      </c>
      <c r="P14" s="94">
        <v>10.34</v>
      </c>
      <c r="Q14" s="94">
        <v>3.92</v>
      </c>
      <c r="R14" s="94">
        <v>2.4900000000000002</v>
      </c>
      <c r="S14" s="94">
        <v>6.17</v>
      </c>
      <c r="T14" s="94">
        <v>4.71</v>
      </c>
      <c r="U14" s="94">
        <v>3.02</v>
      </c>
      <c r="V14" s="94">
        <v>7.3</v>
      </c>
      <c r="W14" s="94">
        <v>3.48</v>
      </c>
      <c r="X14" s="94">
        <v>2.21</v>
      </c>
      <c r="Y14" s="94">
        <v>5.5</v>
      </c>
    </row>
    <row r="15" spans="1:25" x14ac:dyDescent="0.25">
      <c r="A15" s="95">
        <v>2002</v>
      </c>
      <c r="B15" s="94">
        <v>5.07</v>
      </c>
      <c r="C15" s="94">
        <v>2.95</v>
      </c>
      <c r="D15" s="94">
        <v>8.08</v>
      </c>
      <c r="E15" s="94">
        <v>7.32</v>
      </c>
      <c r="F15" s="94">
        <v>4.09</v>
      </c>
      <c r="G15" s="94">
        <v>12.01</v>
      </c>
      <c r="H15" s="94">
        <v>2.83</v>
      </c>
      <c r="I15" s="94">
        <v>0.66</v>
      </c>
      <c r="J15" s="94">
        <v>4.7699999999999996</v>
      </c>
      <c r="K15" s="94">
        <v>4.76</v>
      </c>
      <c r="L15" s="94">
        <v>3.06</v>
      </c>
      <c r="M15" s="94">
        <v>7.38</v>
      </c>
      <c r="N15" s="94">
        <v>6.02</v>
      </c>
      <c r="O15" s="94">
        <v>3.82</v>
      </c>
      <c r="P15" s="94">
        <v>9.36</v>
      </c>
      <c r="Q15" s="94">
        <v>3.55</v>
      </c>
      <c r="R15" s="94">
        <v>2.25</v>
      </c>
      <c r="S15" s="94">
        <v>5.58</v>
      </c>
      <c r="T15" s="94">
        <v>4.32</v>
      </c>
      <c r="U15" s="94">
        <v>2.77</v>
      </c>
      <c r="V15" s="94">
        <v>6.69</v>
      </c>
      <c r="W15" s="94">
        <v>3.19</v>
      </c>
      <c r="X15" s="94">
        <v>2.0299999999999998</v>
      </c>
      <c r="Y15" s="94">
        <v>5.04</v>
      </c>
    </row>
    <row r="16" spans="1:25" x14ac:dyDescent="0.25">
      <c r="A16" s="95">
        <v>2003</v>
      </c>
      <c r="B16" s="94">
        <v>4.6399999999999997</v>
      </c>
      <c r="C16" s="94">
        <v>2.7</v>
      </c>
      <c r="D16" s="94">
        <v>7.39</v>
      </c>
      <c r="E16" s="94">
        <v>6.68</v>
      </c>
      <c r="F16" s="94">
        <v>3.73</v>
      </c>
      <c r="G16" s="94">
        <v>10.96</v>
      </c>
      <c r="H16" s="94">
        <v>2.59</v>
      </c>
      <c r="I16" s="94">
        <v>0.6</v>
      </c>
      <c r="J16" s="94">
        <v>4.37</v>
      </c>
      <c r="K16" s="94">
        <v>4.37</v>
      </c>
      <c r="L16" s="94">
        <v>2.8</v>
      </c>
      <c r="M16" s="94">
        <v>6.77</v>
      </c>
      <c r="N16" s="94">
        <v>5.52</v>
      </c>
      <c r="O16" s="94">
        <v>3.5</v>
      </c>
      <c r="P16" s="94">
        <v>8.58</v>
      </c>
      <c r="Q16" s="94">
        <v>3.25</v>
      </c>
      <c r="R16" s="94">
        <v>2.06</v>
      </c>
      <c r="S16" s="94">
        <v>5.12</v>
      </c>
      <c r="T16" s="94">
        <v>3.98</v>
      </c>
      <c r="U16" s="94">
        <v>2.56</v>
      </c>
      <c r="V16" s="94">
        <v>6.17</v>
      </c>
      <c r="W16" s="94">
        <v>2.95</v>
      </c>
      <c r="X16" s="94">
        <v>1.87</v>
      </c>
      <c r="Y16" s="94">
        <v>4.6500000000000004</v>
      </c>
    </row>
    <row r="17" spans="1:25" x14ac:dyDescent="0.25">
      <c r="A17" s="95">
        <v>2004</v>
      </c>
      <c r="B17" s="94">
        <v>4.32</v>
      </c>
      <c r="C17" s="94">
        <v>2.5099999999999998</v>
      </c>
      <c r="D17" s="94">
        <v>6.88</v>
      </c>
      <c r="E17" s="94">
        <v>6.22</v>
      </c>
      <c r="F17" s="94">
        <v>3.47</v>
      </c>
      <c r="G17" s="94">
        <v>10.199999999999999</v>
      </c>
      <c r="H17" s="94">
        <v>2.4</v>
      </c>
      <c r="I17" s="94">
        <v>0.56000000000000005</v>
      </c>
      <c r="J17" s="94">
        <v>4.04</v>
      </c>
      <c r="K17" s="94">
        <v>4.08</v>
      </c>
      <c r="L17" s="94">
        <v>2.62</v>
      </c>
      <c r="M17" s="94">
        <v>6.32</v>
      </c>
      <c r="N17" s="94">
        <v>5.16</v>
      </c>
      <c r="O17" s="94">
        <v>3.27</v>
      </c>
      <c r="P17" s="94">
        <v>8.02</v>
      </c>
      <c r="Q17" s="94">
        <v>3.03</v>
      </c>
      <c r="R17" s="94">
        <v>1.92</v>
      </c>
      <c r="S17" s="94">
        <v>4.7699999999999996</v>
      </c>
      <c r="T17" s="94">
        <v>3.71</v>
      </c>
      <c r="U17" s="94">
        <v>2.38</v>
      </c>
      <c r="V17" s="94">
        <v>5.75</v>
      </c>
      <c r="W17" s="94">
        <v>2.73</v>
      </c>
      <c r="X17" s="94">
        <v>1.73</v>
      </c>
      <c r="Y17" s="94">
        <v>4.3099999999999996</v>
      </c>
    </row>
    <row r="18" spans="1:25" x14ac:dyDescent="0.25">
      <c r="A18" s="95">
        <v>2005</v>
      </c>
      <c r="B18" s="94">
        <v>4.08</v>
      </c>
      <c r="C18" s="94">
        <v>2.37</v>
      </c>
      <c r="D18" s="94">
        <v>6.5</v>
      </c>
      <c r="E18" s="94">
        <v>5.89</v>
      </c>
      <c r="F18" s="94">
        <v>3.28</v>
      </c>
      <c r="G18" s="94">
        <v>9.65</v>
      </c>
      <c r="H18" s="94">
        <v>2.25</v>
      </c>
      <c r="I18" s="94">
        <v>0.52</v>
      </c>
      <c r="J18" s="94">
        <v>3.79</v>
      </c>
      <c r="K18" s="94">
        <v>3.87</v>
      </c>
      <c r="L18" s="94">
        <v>2.48</v>
      </c>
      <c r="M18" s="94">
        <v>5.99</v>
      </c>
      <c r="N18" s="94">
        <v>4.8899999999999997</v>
      </c>
      <c r="O18" s="94">
        <v>3.1</v>
      </c>
      <c r="P18" s="94">
        <v>7.61</v>
      </c>
      <c r="Q18" s="94">
        <v>2.87</v>
      </c>
      <c r="R18" s="94">
        <v>1.82</v>
      </c>
      <c r="S18" s="94">
        <v>4.5199999999999996</v>
      </c>
      <c r="T18" s="94">
        <v>3.47</v>
      </c>
      <c r="U18" s="94">
        <v>2.23</v>
      </c>
      <c r="V18" s="94">
        <v>5.37</v>
      </c>
      <c r="W18" s="94">
        <v>2.5299999999999998</v>
      </c>
      <c r="X18" s="94">
        <v>1.61</v>
      </c>
      <c r="Y18" s="94">
        <v>3.99</v>
      </c>
    </row>
    <row r="19" spans="1:25" x14ac:dyDescent="0.25">
      <c r="A19" s="95">
        <v>2006</v>
      </c>
      <c r="B19" s="94">
        <v>3.92</v>
      </c>
      <c r="C19" s="94">
        <v>2.2799999999999998</v>
      </c>
      <c r="D19" s="94">
        <v>6.25</v>
      </c>
      <c r="E19" s="94">
        <v>5.66</v>
      </c>
      <c r="F19" s="94">
        <v>3.16</v>
      </c>
      <c r="G19" s="94">
        <v>9.2799999999999994</v>
      </c>
      <c r="H19" s="94">
        <v>2.15</v>
      </c>
      <c r="I19" s="94">
        <v>0.5</v>
      </c>
      <c r="J19" s="94">
        <v>3.63</v>
      </c>
      <c r="K19" s="94">
        <v>3.73</v>
      </c>
      <c r="L19" s="94">
        <v>2.39</v>
      </c>
      <c r="M19" s="94">
        <v>5.78</v>
      </c>
      <c r="N19" s="94">
        <v>4.72</v>
      </c>
      <c r="O19" s="94">
        <v>2.99</v>
      </c>
      <c r="P19" s="94">
        <v>7.34</v>
      </c>
      <c r="Q19" s="94">
        <v>2.77</v>
      </c>
      <c r="R19" s="94">
        <v>1.76</v>
      </c>
      <c r="S19" s="94">
        <v>4.3499999999999996</v>
      </c>
      <c r="T19" s="94">
        <v>3.28</v>
      </c>
      <c r="U19" s="94">
        <v>2.11</v>
      </c>
      <c r="V19" s="94">
        <v>5.09</v>
      </c>
      <c r="W19" s="94">
        <v>2.37</v>
      </c>
      <c r="X19" s="94">
        <v>1.51</v>
      </c>
      <c r="Y19" s="94">
        <v>3.75</v>
      </c>
    </row>
    <row r="20" spans="1:25" x14ac:dyDescent="0.25">
      <c r="A20" s="95">
        <v>2007</v>
      </c>
      <c r="B20" s="94">
        <v>3.69</v>
      </c>
      <c r="C20" s="94">
        <v>2.14</v>
      </c>
      <c r="D20" s="94">
        <v>5.88</v>
      </c>
      <c r="E20" s="94">
        <v>5.32</v>
      </c>
      <c r="F20" s="94">
        <v>2.97</v>
      </c>
      <c r="G20" s="94">
        <v>8.73</v>
      </c>
      <c r="H20" s="94">
        <v>2.02</v>
      </c>
      <c r="I20" s="94">
        <v>0.47</v>
      </c>
      <c r="J20" s="94">
        <v>3.4</v>
      </c>
      <c r="K20" s="94">
        <v>3.5</v>
      </c>
      <c r="L20" s="94">
        <v>2.25</v>
      </c>
      <c r="M20" s="94">
        <v>5.42</v>
      </c>
      <c r="N20" s="94">
        <v>4.43</v>
      </c>
      <c r="O20" s="94">
        <v>2.81</v>
      </c>
      <c r="P20" s="94">
        <v>6.89</v>
      </c>
      <c r="Q20" s="94">
        <v>2.6</v>
      </c>
      <c r="R20" s="94">
        <v>1.65</v>
      </c>
      <c r="S20" s="94">
        <v>4.08</v>
      </c>
      <c r="T20" s="94">
        <v>3.06</v>
      </c>
      <c r="U20" s="94">
        <v>1.97</v>
      </c>
      <c r="V20" s="94">
        <v>4.75</v>
      </c>
      <c r="W20" s="94">
        <v>2.2000000000000002</v>
      </c>
      <c r="X20" s="94">
        <v>1.4</v>
      </c>
      <c r="Y20" s="94">
        <v>3.48</v>
      </c>
    </row>
    <row r="21" spans="1:25" x14ac:dyDescent="0.25">
      <c r="A21" s="95">
        <v>2008</v>
      </c>
      <c r="B21" s="94">
        <v>3.58</v>
      </c>
      <c r="C21" s="94">
        <v>2.08</v>
      </c>
      <c r="D21" s="94">
        <v>5.71</v>
      </c>
      <c r="E21" s="94">
        <v>5.18</v>
      </c>
      <c r="F21" s="94">
        <v>2.89</v>
      </c>
      <c r="G21" s="94">
        <v>8.49</v>
      </c>
      <c r="H21" s="94">
        <v>1.95</v>
      </c>
      <c r="I21" s="94">
        <v>0.45</v>
      </c>
      <c r="J21" s="94">
        <v>3.29</v>
      </c>
      <c r="K21" s="94">
        <v>3.39</v>
      </c>
      <c r="L21" s="94">
        <v>2.1800000000000002</v>
      </c>
      <c r="M21" s="94">
        <v>5.26</v>
      </c>
      <c r="N21" s="94">
        <v>4.3</v>
      </c>
      <c r="O21" s="94">
        <v>2.72</v>
      </c>
      <c r="P21" s="94">
        <v>6.68</v>
      </c>
      <c r="Q21" s="94">
        <v>2.5099999999999998</v>
      </c>
      <c r="R21" s="94">
        <v>1.6</v>
      </c>
      <c r="S21" s="94">
        <v>3.96</v>
      </c>
      <c r="T21" s="94">
        <v>2.74</v>
      </c>
      <c r="U21" s="94">
        <v>1.76</v>
      </c>
      <c r="V21" s="94">
        <v>4.24</v>
      </c>
      <c r="W21" s="94">
        <v>1.9</v>
      </c>
      <c r="X21" s="94">
        <v>1.21</v>
      </c>
      <c r="Y21" s="94">
        <v>3</v>
      </c>
    </row>
    <row r="22" spans="1:25" x14ac:dyDescent="0.25">
      <c r="A22" s="95">
        <v>2009</v>
      </c>
      <c r="B22" s="94">
        <v>3.47</v>
      </c>
      <c r="C22" s="94">
        <v>2.02</v>
      </c>
      <c r="D22" s="94">
        <v>5.53</v>
      </c>
      <c r="E22" s="94">
        <v>5.01</v>
      </c>
      <c r="F22" s="94">
        <v>2.8</v>
      </c>
      <c r="G22" s="94">
        <v>8.2100000000000009</v>
      </c>
      <c r="H22" s="94">
        <v>1.89</v>
      </c>
      <c r="I22" s="94">
        <v>0.44</v>
      </c>
      <c r="J22" s="94">
        <v>3.18</v>
      </c>
      <c r="K22" s="94">
        <v>3.27</v>
      </c>
      <c r="L22" s="94">
        <v>2.1</v>
      </c>
      <c r="M22" s="94">
        <v>5.07</v>
      </c>
      <c r="N22" s="94">
        <v>4.1399999999999997</v>
      </c>
      <c r="O22" s="94">
        <v>2.62</v>
      </c>
      <c r="P22" s="94">
        <v>6.44</v>
      </c>
      <c r="Q22" s="94">
        <v>2.4300000000000002</v>
      </c>
      <c r="R22" s="94">
        <v>1.54</v>
      </c>
      <c r="S22" s="94">
        <v>3.82</v>
      </c>
      <c r="T22" s="94">
        <v>2.63</v>
      </c>
      <c r="U22" s="94">
        <v>1.69</v>
      </c>
      <c r="V22" s="94">
        <v>4.08</v>
      </c>
      <c r="W22" s="94">
        <v>1.82</v>
      </c>
      <c r="X22" s="94">
        <v>1.1599999999999999</v>
      </c>
      <c r="Y22" s="94">
        <v>2.88</v>
      </c>
    </row>
    <row r="23" spans="1:25" x14ac:dyDescent="0.25">
      <c r="A23" s="95">
        <v>2010</v>
      </c>
      <c r="B23" s="94">
        <v>3.3</v>
      </c>
      <c r="C23" s="94">
        <v>1.92</v>
      </c>
      <c r="D23" s="94">
        <v>5.27</v>
      </c>
      <c r="E23" s="94">
        <v>4.78</v>
      </c>
      <c r="F23" s="94">
        <v>2.67</v>
      </c>
      <c r="G23" s="94">
        <v>7.83</v>
      </c>
      <c r="H23" s="94">
        <v>1.8</v>
      </c>
      <c r="I23" s="94">
        <v>0.42</v>
      </c>
      <c r="J23" s="94">
        <v>3.04</v>
      </c>
      <c r="K23" s="94">
        <v>3.11</v>
      </c>
      <c r="L23" s="94">
        <v>1.99</v>
      </c>
      <c r="M23" s="94">
        <v>4.82</v>
      </c>
      <c r="N23" s="94">
        <v>3.93</v>
      </c>
      <c r="O23" s="94">
        <v>2.4900000000000002</v>
      </c>
      <c r="P23" s="94">
        <v>6.11</v>
      </c>
      <c r="Q23" s="94">
        <v>2.31</v>
      </c>
      <c r="R23" s="94">
        <v>1.47</v>
      </c>
      <c r="S23" s="94">
        <v>3.63</v>
      </c>
      <c r="T23" s="94">
        <v>2.46</v>
      </c>
      <c r="U23" s="94">
        <v>1.58</v>
      </c>
      <c r="V23" s="94">
        <v>3.82</v>
      </c>
      <c r="W23" s="94">
        <v>1.69</v>
      </c>
      <c r="X23" s="94">
        <v>1.08</v>
      </c>
      <c r="Y23" s="94">
        <v>2.68</v>
      </c>
    </row>
    <row r="24" spans="1:25" x14ac:dyDescent="0.25">
      <c r="A24" s="95">
        <v>2011</v>
      </c>
      <c r="B24" s="94">
        <v>3.05</v>
      </c>
      <c r="C24" s="94">
        <v>1.78</v>
      </c>
      <c r="D24" s="94">
        <v>4.87</v>
      </c>
      <c r="E24" s="94">
        <v>4.41</v>
      </c>
      <c r="F24" s="94">
        <v>2.46</v>
      </c>
      <c r="G24" s="94">
        <v>7.23</v>
      </c>
      <c r="H24" s="94">
        <v>1.67</v>
      </c>
      <c r="I24" s="94">
        <v>0.39</v>
      </c>
      <c r="J24" s="94">
        <v>2.81</v>
      </c>
      <c r="K24" s="94">
        <v>2.86</v>
      </c>
      <c r="L24" s="94">
        <v>1.84</v>
      </c>
      <c r="M24" s="94">
        <v>4.43</v>
      </c>
      <c r="N24" s="94">
        <v>3.61</v>
      </c>
      <c r="O24" s="94">
        <v>2.29</v>
      </c>
      <c r="P24" s="94">
        <v>5.61</v>
      </c>
      <c r="Q24" s="94">
        <v>2.13</v>
      </c>
      <c r="R24" s="94">
        <v>1.35</v>
      </c>
      <c r="S24" s="94">
        <v>3.35</v>
      </c>
      <c r="T24" s="94">
        <v>2.19</v>
      </c>
      <c r="U24" s="94">
        <v>1.4</v>
      </c>
      <c r="V24" s="94">
        <v>3.39</v>
      </c>
      <c r="W24" s="94">
        <v>1.48</v>
      </c>
      <c r="X24" s="94">
        <v>0.94</v>
      </c>
      <c r="Y24" s="94">
        <v>2.33</v>
      </c>
    </row>
    <row r="25" spans="1:25" x14ac:dyDescent="0.25">
      <c r="A25" s="95">
        <v>2012</v>
      </c>
      <c r="B25" s="94">
        <v>2.81</v>
      </c>
      <c r="C25" s="94">
        <v>1.63</v>
      </c>
      <c r="D25" s="94">
        <v>4.4800000000000004</v>
      </c>
      <c r="E25" s="94">
        <v>4.0599999999999996</v>
      </c>
      <c r="F25" s="94">
        <v>2.27</v>
      </c>
      <c r="G25" s="94">
        <v>6.66</v>
      </c>
      <c r="H25" s="94">
        <v>1.54</v>
      </c>
      <c r="I25" s="94">
        <v>0.36</v>
      </c>
      <c r="J25" s="94">
        <v>2.59</v>
      </c>
      <c r="K25" s="94">
        <v>2.63</v>
      </c>
      <c r="L25" s="94">
        <v>1.69</v>
      </c>
      <c r="M25" s="94">
        <v>4.07</v>
      </c>
      <c r="N25" s="94">
        <v>3.31</v>
      </c>
      <c r="O25" s="94">
        <v>2.1</v>
      </c>
      <c r="P25" s="94">
        <v>5.15</v>
      </c>
      <c r="Q25" s="94">
        <v>1.96</v>
      </c>
      <c r="R25" s="94">
        <v>1.24</v>
      </c>
      <c r="S25" s="94">
        <v>3.08</v>
      </c>
      <c r="T25" s="94">
        <v>2.0699999999999998</v>
      </c>
      <c r="U25" s="94">
        <v>1.33</v>
      </c>
      <c r="V25" s="94">
        <v>3.21</v>
      </c>
      <c r="W25" s="94">
        <v>1.42</v>
      </c>
      <c r="X25" s="94">
        <v>0.9</v>
      </c>
      <c r="Y25" s="94">
        <v>2.2400000000000002</v>
      </c>
    </row>
    <row r="26" spans="1:25" x14ac:dyDescent="0.25">
      <c r="A26" s="95">
        <v>2013</v>
      </c>
      <c r="B26" s="94">
        <v>2.65</v>
      </c>
      <c r="C26" s="94">
        <v>1.54</v>
      </c>
      <c r="D26" s="94">
        <v>4.2300000000000004</v>
      </c>
      <c r="E26" s="94">
        <v>3.84</v>
      </c>
      <c r="F26" s="94">
        <v>2.14</v>
      </c>
      <c r="G26" s="94">
        <v>6.29</v>
      </c>
      <c r="H26" s="94">
        <v>1.45</v>
      </c>
      <c r="I26" s="94">
        <v>0.34</v>
      </c>
      <c r="J26" s="94">
        <v>2.44</v>
      </c>
      <c r="K26" s="94">
        <v>2.48</v>
      </c>
      <c r="L26" s="94">
        <v>1.59</v>
      </c>
      <c r="M26" s="94">
        <v>3.83</v>
      </c>
      <c r="N26" s="94">
        <v>3.12</v>
      </c>
      <c r="O26" s="94">
        <v>1.98</v>
      </c>
      <c r="P26" s="94">
        <v>4.8499999999999996</v>
      </c>
      <c r="Q26" s="94">
        <v>1.85</v>
      </c>
      <c r="R26" s="94">
        <v>1.17</v>
      </c>
      <c r="S26" s="94">
        <v>2.9</v>
      </c>
      <c r="T26" s="94">
        <v>1.95</v>
      </c>
      <c r="U26" s="94">
        <v>1.25</v>
      </c>
      <c r="V26" s="94">
        <v>3.02</v>
      </c>
      <c r="W26" s="94">
        <v>1.33</v>
      </c>
      <c r="X26" s="94">
        <v>0.85</v>
      </c>
      <c r="Y26" s="94">
        <v>2.11</v>
      </c>
    </row>
    <row r="27" spans="1:25" x14ac:dyDescent="0.25">
      <c r="A27" s="95">
        <v>2014</v>
      </c>
      <c r="B27" s="94">
        <v>2.4900000000000002</v>
      </c>
      <c r="C27" s="94">
        <v>1.45</v>
      </c>
      <c r="D27" s="94">
        <v>3.96</v>
      </c>
      <c r="E27" s="94">
        <v>3.59</v>
      </c>
      <c r="F27" s="94">
        <v>2</v>
      </c>
      <c r="G27" s="94">
        <v>5.89</v>
      </c>
      <c r="H27" s="94">
        <v>1.37</v>
      </c>
      <c r="I27" s="94">
        <v>0.32</v>
      </c>
      <c r="J27" s="94">
        <v>2.2999999999999998</v>
      </c>
      <c r="K27" s="94">
        <v>2.31</v>
      </c>
      <c r="L27" s="94">
        <v>1.48</v>
      </c>
      <c r="M27" s="94">
        <v>3.57</v>
      </c>
      <c r="N27" s="94">
        <v>2.89</v>
      </c>
      <c r="O27" s="94">
        <v>1.84</v>
      </c>
      <c r="P27" s="94">
        <v>4.5</v>
      </c>
      <c r="Q27" s="94">
        <v>1.73</v>
      </c>
      <c r="R27" s="94">
        <v>1.0900000000000001</v>
      </c>
      <c r="S27" s="94">
        <v>2.71</v>
      </c>
      <c r="T27" s="94">
        <v>1.79</v>
      </c>
      <c r="U27" s="94">
        <v>1.1499999999999999</v>
      </c>
      <c r="V27" s="94">
        <v>2.78</v>
      </c>
      <c r="W27" s="94">
        <v>1.22</v>
      </c>
      <c r="X27" s="94">
        <v>0.78</v>
      </c>
      <c r="Y27" s="94">
        <v>1.93</v>
      </c>
    </row>
    <row r="28" spans="1:25" x14ac:dyDescent="0.25">
      <c r="A28" s="95">
        <v>2015</v>
      </c>
      <c r="B28" s="94">
        <v>2.2799999999999998</v>
      </c>
      <c r="C28" s="94">
        <v>1.33</v>
      </c>
      <c r="D28" s="94">
        <v>3.64</v>
      </c>
      <c r="E28" s="94">
        <v>3.3</v>
      </c>
      <c r="F28" s="94">
        <v>1.84</v>
      </c>
      <c r="G28" s="94">
        <v>5.4</v>
      </c>
      <c r="H28" s="94">
        <v>1.26</v>
      </c>
      <c r="I28" s="94">
        <v>0.28999999999999998</v>
      </c>
      <c r="J28" s="94">
        <v>2.12</v>
      </c>
      <c r="K28" s="94">
        <v>2.12</v>
      </c>
      <c r="L28" s="94">
        <v>1.36</v>
      </c>
      <c r="M28" s="94">
        <v>3.28</v>
      </c>
      <c r="N28" s="94">
        <v>2.65</v>
      </c>
      <c r="O28" s="94">
        <v>1.68</v>
      </c>
      <c r="P28" s="94">
        <v>4.12</v>
      </c>
      <c r="Q28" s="94">
        <v>1.59</v>
      </c>
      <c r="R28" s="94">
        <v>1.01</v>
      </c>
      <c r="S28" s="94">
        <v>2.5</v>
      </c>
      <c r="T28" s="94">
        <v>1.58</v>
      </c>
      <c r="U28" s="94">
        <v>1.01</v>
      </c>
      <c r="V28" s="94">
        <v>2.44</v>
      </c>
      <c r="W28" s="94">
        <v>1.05</v>
      </c>
      <c r="X28" s="94">
        <v>0.67</v>
      </c>
      <c r="Y28" s="94">
        <v>1.66</v>
      </c>
    </row>
    <row r="29" spans="1:25" x14ac:dyDescent="0.25">
      <c r="A29" s="95">
        <v>2016</v>
      </c>
      <c r="B29" s="94">
        <v>2.02</v>
      </c>
      <c r="C29" s="94">
        <v>1.17</v>
      </c>
      <c r="D29" s="94">
        <v>3.22</v>
      </c>
      <c r="E29" s="94">
        <v>2.91</v>
      </c>
      <c r="F29" s="94">
        <v>1.63</v>
      </c>
      <c r="G29" s="94">
        <v>4.78</v>
      </c>
      <c r="H29" s="94">
        <v>1.1200000000000001</v>
      </c>
      <c r="I29" s="94">
        <v>0.26</v>
      </c>
      <c r="J29" s="94">
        <v>1.88</v>
      </c>
      <c r="K29" s="94">
        <v>1.87</v>
      </c>
      <c r="L29" s="94">
        <v>1.2</v>
      </c>
      <c r="M29" s="94">
        <v>2.9</v>
      </c>
      <c r="N29" s="94">
        <v>2.35</v>
      </c>
      <c r="O29" s="94">
        <v>1.49</v>
      </c>
      <c r="P29" s="94">
        <v>3.65</v>
      </c>
      <c r="Q29" s="94">
        <v>1.41</v>
      </c>
      <c r="R29" s="94">
        <v>0.89</v>
      </c>
      <c r="S29" s="94">
        <v>2.21</v>
      </c>
      <c r="T29" s="94">
        <v>1.41</v>
      </c>
      <c r="U29" s="94">
        <v>0.9</v>
      </c>
      <c r="V29" s="94">
        <v>2.1800000000000002</v>
      </c>
      <c r="W29" s="94">
        <v>0.94</v>
      </c>
      <c r="X29" s="94">
        <v>0.6</v>
      </c>
      <c r="Y29" s="94">
        <v>1.48</v>
      </c>
    </row>
    <row r="30" spans="1:25" x14ac:dyDescent="0.25">
      <c r="A30" s="95">
        <v>2017</v>
      </c>
      <c r="B30" s="94">
        <v>1.82</v>
      </c>
      <c r="C30" s="94">
        <v>1.06</v>
      </c>
      <c r="D30" s="94">
        <v>2.9</v>
      </c>
      <c r="E30" s="94">
        <v>2.62</v>
      </c>
      <c r="F30" s="94">
        <v>1.46</v>
      </c>
      <c r="G30" s="94">
        <v>4.3</v>
      </c>
      <c r="H30" s="94">
        <v>1</v>
      </c>
      <c r="I30" s="94">
        <v>0.23</v>
      </c>
      <c r="J30" s="94">
        <v>1.69</v>
      </c>
      <c r="K30" s="94">
        <v>1.69</v>
      </c>
      <c r="L30" s="94">
        <v>1.0900000000000001</v>
      </c>
      <c r="M30" s="94">
        <v>2.62</v>
      </c>
      <c r="N30" s="94">
        <v>2.12</v>
      </c>
      <c r="O30" s="94">
        <v>1.34</v>
      </c>
      <c r="P30" s="94">
        <v>3.3</v>
      </c>
      <c r="Q30" s="94">
        <v>1.27</v>
      </c>
      <c r="R30" s="94">
        <v>0.8</v>
      </c>
      <c r="S30" s="94">
        <v>2</v>
      </c>
      <c r="T30" s="94">
        <v>1.3</v>
      </c>
      <c r="U30" s="94">
        <v>0.84</v>
      </c>
      <c r="V30" s="94">
        <v>2.02</v>
      </c>
      <c r="W30" s="94">
        <v>0.88</v>
      </c>
      <c r="X30" s="94">
        <v>0.56000000000000005</v>
      </c>
      <c r="Y30" s="94">
        <v>1.39</v>
      </c>
    </row>
    <row r="31" spans="1:25" x14ac:dyDescent="0.25">
      <c r="A31" s="95">
        <v>2018</v>
      </c>
      <c r="B31" s="94">
        <v>1.63</v>
      </c>
      <c r="C31" s="94">
        <v>0.95</v>
      </c>
      <c r="D31" s="94">
        <v>2.59</v>
      </c>
      <c r="E31" s="94">
        <v>2.35</v>
      </c>
      <c r="F31" s="94">
        <v>1.31</v>
      </c>
      <c r="G31" s="94">
        <v>3.84</v>
      </c>
      <c r="H31" s="94">
        <v>0.9</v>
      </c>
      <c r="I31" s="94">
        <v>0.21</v>
      </c>
      <c r="J31" s="94">
        <v>1.52</v>
      </c>
      <c r="K31" s="94">
        <v>1.52</v>
      </c>
      <c r="L31" s="94">
        <v>0.98</v>
      </c>
      <c r="M31" s="94">
        <v>2.36</v>
      </c>
      <c r="N31" s="94">
        <v>1.91</v>
      </c>
      <c r="O31" s="94">
        <v>1.21</v>
      </c>
      <c r="P31" s="94">
        <v>2.96</v>
      </c>
      <c r="Q31" s="94">
        <v>1.1399999999999999</v>
      </c>
      <c r="R31" s="94">
        <v>0.72</v>
      </c>
      <c r="S31" s="94">
        <v>1.79</v>
      </c>
      <c r="T31" s="94">
        <v>1.1599999999999999</v>
      </c>
      <c r="U31" s="94">
        <v>0.74</v>
      </c>
      <c r="V31" s="94">
        <v>1.79</v>
      </c>
      <c r="W31" s="94">
        <v>0.77</v>
      </c>
      <c r="X31" s="94">
        <v>0.49</v>
      </c>
      <c r="Y31" s="94">
        <v>1.22</v>
      </c>
    </row>
    <row r="32" spans="1:25" x14ac:dyDescent="0.25">
      <c r="A32" s="95">
        <v>2019</v>
      </c>
      <c r="B32" s="94">
        <v>1.57</v>
      </c>
      <c r="C32" s="94">
        <v>0.91</v>
      </c>
      <c r="D32" s="94">
        <v>2.5099999999999998</v>
      </c>
      <c r="E32" s="94">
        <v>2.27</v>
      </c>
      <c r="F32" s="94">
        <v>1.26</v>
      </c>
      <c r="G32" s="94">
        <v>3.72</v>
      </c>
      <c r="H32" s="94">
        <v>0.88</v>
      </c>
      <c r="I32" s="94">
        <v>0.2</v>
      </c>
      <c r="J32" s="94">
        <v>1.47</v>
      </c>
      <c r="K32" s="94">
        <v>1.47</v>
      </c>
      <c r="L32" s="94">
        <v>0.94</v>
      </c>
      <c r="M32" s="94">
        <v>2.2799999999999998</v>
      </c>
      <c r="N32" s="94">
        <v>1.84</v>
      </c>
      <c r="O32" s="94">
        <v>1.17</v>
      </c>
      <c r="P32" s="94">
        <v>2.86</v>
      </c>
      <c r="Q32" s="94">
        <v>1.1100000000000001</v>
      </c>
      <c r="R32" s="94">
        <v>0.7</v>
      </c>
      <c r="S32" s="94">
        <v>1.74</v>
      </c>
      <c r="T32" s="94">
        <v>1.1100000000000001</v>
      </c>
      <c r="U32" s="94">
        <v>0.71</v>
      </c>
      <c r="V32" s="94">
        <v>1.72</v>
      </c>
      <c r="W32" s="94">
        <v>0.74</v>
      </c>
      <c r="X32" s="94">
        <v>0.47</v>
      </c>
      <c r="Y32" s="94">
        <v>1.17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28" workbookViewId="0">
      <selection activeCell="N53" sqref="N53"/>
    </sheetView>
  </sheetViews>
  <sheetFormatPr defaultRowHeight="15" x14ac:dyDescent="0.25"/>
  <sheetData>
    <row r="1" spans="1:5" x14ac:dyDescent="0.25">
      <c r="A1" s="2" t="s">
        <v>1384</v>
      </c>
    </row>
    <row r="2" spans="1:5" x14ac:dyDescent="0.25">
      <c r="B2" t="s">
        <v>1385</v>
      </c>
      <c r="D2" s="37"/>
      <c r="E2" s="37"/>
    </row>
    <row r="3" spans="1:5" x14ac:dyDescent="0.25">
      <c r="B3" t="s">
        <v>1383</v>
      </c>
    </row>
    <row r="4" spans="1:5" x14ac:dyDescent="0.25">
      <c r="B4" t="s">
        <v>150</v>
      </c>
      <c r="C4" t="s">
        <v>1386</v>
      </c>
      <c r="D4" t="s">
        <v>1387</v>
      </c>
    </row>
    <row r="5" spans="1:5" x14ac:dyDescent="0.25">
      <c r="B5" t="s">
        <v>494</v>
      </c>
      <c r="C5">
        <v>12000</v>
      </c>
      <c r="D5" s="41">
        <f t="shared" ref="D5:D20" si="0">C5/SUM(C$5:C$20)</f>
        <v>0.12121212121212122</v>
      </c>
    </row>
    <row r="6" spans="1:5" x14ac:dyDescent="0.25">
      <c r="B6" s="22" t="s">
        <v>459</v>
      </c>
      <c r="C6">
        <v>10000</v>
      </c>
      <c r="D6" s="41">
        <f t="shared" si="0"/>
        <v>0.10101010101010101</v>
      </c>
    </row>
    <row r="7" spans="1:5" x14ac:dyDescent="0.25">
      <c r="B7" s="22" t="s">
        <v>338</v>
      </c>
      <c r="C7">
        <v>9000</v>
      </c>
      <c r="D7" s="41">
        <f t="shared" si="0"/>
        <v>9.0909090909090912E-2</v>
      </c>
    </row>
    <row r="8" spans="1:5" x14ac:dyDescent="0.25">
      <c r="B8" t="s">
        <v>137</v>
      </c>
      <c r="C8">
        <v>9000</v>
      </c>
      <c r="D8" s="41">
        <f t="shared" si="0"/>
        <v>9.0909090909090912E-2</v>
      </c>
    </row>
    <row r="9" spans="1:5" x14ac:dyDescent="0.25">
      <c r="B9" t="s">
        <v>138</v>
      </c>
      <c r="C9">
        <v>8000</v>
      </c>
      <c r="D9" s="41">
        <f t="shared" si="0"/>
        <v>8.0808080808080815E-2</v>
      </c>
    </row>
    <row r="10" spans="1:5" x14ac:dyDescent="0.25">
      <c r="B10" t="s">
        <v>139</v>
      </c>
      <c r="C10">
        <v>8000</v>
      </c>
      <c r="D10" s="41">
        <f t="shared" si="0"/>
        <v>8.0808080808080815E-2</v>
      </c>
    </row>
    <row r="11" spans="1:5" x14ac:dyDescent="0.25">
      <c r="B11" t="s">
        <v>140</v>
      </c>
      <c r="C11">
        <v>6000</v>
      </c>
      <c r="D11" s="41">
        <f t="shared" si="0"/>
        <v>6.0606060606060608E-2</v>
      </c>
    </row>
    <row r="12" spans="1:5" x14ac:dyDescent="0.25">
      <c r="B12" t="s">
        <v>141</v>
      </c>
      <c r="C12">
        <v>6000</v>
      </c>
      <c r="D12" s="41">
        <f t="shared" si="0"/>
        <v>6.0606060606060608E-2</v>
      </c>
    </row>
    <row r="13" spans="1:5" x14ac:dyDescent="0.25">
      <c r="B13" t="s">
        <v>142</v>
      </c>
      <c r="C13">
        <v>6000</v>
      </c>
      <c r="D13" s="41">
        <f t="shared" si="0"/>
        <v>6.0606060606060608E-2</v>
      </c>
    </row>
    <row r="14" spans="1:5" x14ac:dyDescent="0.25">
      <c r="B14" t="s">
        <v>143</v>
      </c>
      <c r="C14">
        <v>6000</v>
      </c>
      <c r="D14" s="41">
        <f t="shared" si="0"/>
        <v>6.0606060606060608E-2</v>
      </c>
    </row>
    <row r="15" spans="1:5" x14ac:dyDescent="0.25">
      <c r="B15" t="s">
        <v>392</v>
      </c>
      <c r="C15">
        <v>5000</v>
      </c>
      <c r="D15" s="41">
        <f t="shared" si="0"/>
        <v>5.0505050505050504E-2</v>
      </c>
    </row>
    <row r="16" spans="1:5" x14ac:dyDescent="0.25">
      <c r="B16" t="s">
        <v>535</v>
      </c>
      <c r="C16">
        <v>4000</v>
      </c>
      <c r="D16" s="41">
        <f t="shared" si="0"/>
        <v>4.0404040404040407E-2</v>
      </c>
    </row>
    <row r="17" spans="1:5" x14ac:dyDescent="0.25">
      <c r="B17" t="s">
        <v>536</v>
      </c>
      <c r="C17">
        <v>4000</v>
      </c>
      <c r="D17" s="41">
        <f t="shared" si="0"/>
        <v>4.0404040404040407E-2</v>
      </c>
    </row>
    <row r="18" spans="1:5" x14ac:dyDescent="0.25">
      <c r="B18" t="s">
        <v>970</v>
      </c>
      <c r="C18">
        <v>3000</v>
      </c>
      <c r="D18" s="41">
        <f t="shared" si="0"/>
        <v>3.0303030303030304E-2</v>
      </c>
    </row>
    <row r="19" spans="1:5" x14ac:dyDescent="0.25">
      <c r="B19" t="s">
        <v>971</v>
      </c>
      <c r="C19">
        <v>2000</v>
      </c>
      <c r="D19" s="41">
        <f t="shared" si="0"/>
        <v>2.0202020202020204E-2</v>
      </c>
    </row>
    <row r="20" spans="1:5" x14ac:dyDescent="0.25">
      <c r="B20" t="s">
        <v>972</v>
      </c>
      <c r="C20">
        <v>1000</v>
      </c>
      <c r="D20" s="41">
        <f t="shared" si="0"/>
        <v>1.0101010101010102E-2</v>
      </c>
    </row>
    <row r="21" spans="1:5" x14ac:dyDescent="0.25">
      <c r="B21" t="s">
        <v>1382</v>
      </c>
      <c r="C21">
        <v>500</v>
      </c>
      <c r="D21" s="92"/>
    </row>
    <row r="22" spans="1:5" x14ac:dyDescent="0.25">
      <c r="B22" t="s">
        <v>397</v>
      </c>
      <c r="C22">
        <v>500</v>
      </c>
      <c r="D22" s="92"/>
    </row>
    <row r="23" spans="1:5" x14ac:dyDescent="0.25">
      <c r="B23" t="s">
        <v>144</v>
      </c>
      <c r="C23">
        <v>100000</v>
      </c>
      <c r="D23" s="41">
        <f>SUM(D5:D20)</f>
        <v>0.99999999999999989</v>
      </c>
    </row>
    <row r="26" spans="1:5" x14ac:dyDescent="0.25">
      <c r="A26" t="s">
        <v>1391</v>
      </c>
    </row>
    <row r="27" spans="1:5" x14ac:dyDescent="0.25">
      <c r="B27" t="s">
        <v>150</v>
      </c>
      <c r="C27" t="s">
        <v>1388</v>
      </c>
      <c r="D27" t="s">
        <v>1389</v>
      </c>
      <c r="E27" t="s">
        <v>1390</v>
      </c>
    </row>
    <row r="28" spans="1:5" x14ac:dyDescent="0.25">
      <c r="B28" t="s">
        <v>494</v>
      </c>
      <c r="C28" s="8">
        <v>12</v>
      </c>
      <c r="D28" s="8">
        <v>8</v>
      </c>
      <c r="E28">
        <v>8.86</v>
      </c>
    </row>
    <row r="29" spans="1:5" x14ac:dyDescent="0.25">
      <c r="B29" s="22" t="s">
        <v>459</v>
      </c>
      <c r="C29" s="8">
        <v>10</v>
      </c>
      <c r="D29" s="8">
        <v>7</v>
      </c>
      <c r="E29">
        <v>8.69</v>
      </c>
    </row>
    <row r="30" spans="1:5" x14ac:dyDescent="0.25">
      <c r="B30" s="22" t="s">
        <v>338</v>
      </c>
      <c r="C30" s="8">
        <v>9</v>
      </c>
      <c r="D30" s="8">
        <v>7</v>
      </c>
      <c r="E30">
        <v>8.6</v>
      </c>
    </row>
    <row r="31" spans="1:5" x14ac:dyDescent="0.25">
      <c r="B31" t="s">
        <v>137</v>
      </c>
      <c r="C31" s="8">
        <v>9</v>
      </c>
      <c r="D31" s="8">
        <v>7</v>
      </c>
      <c r="E31">
        <v>8.4700000000000006</v>
      </c>
    </row>
    <row r="32" spans="1:5" x14ac:dyDescent="0.25">
      <c r="B32" t="s">
        <v>138</v>
      </c>
      <c r="C32" s="8">
        <v>8</v>
      </c>
      <c r="D32" s="8">
        <v>7</v>
      </c>
      <c r="E32">
        <v>8.2200000000000006</v>
      </c>
    </row>
    <row r="33" spans="1:6" x14ac:dyDescent="0.25">
      <c r="B33" t="s">
        <v>139</v>
      </c>
      <c r="C33" s="8">
        <v>8</v>
      </c>
      <c r="D33" s="8">
        <v>7</v>
      </c>
      <c r="E33">
        <v>7.93</v>
      </c>
    </row>
    <row r="34" spans="1:6" x14ac:dyDescent="0.25">
      <c r="B34" t="s">
        <v>140</v>
      </c>
      <c r="C34" s="8">
        <v>6</v>
      </c>
      <c r="D34" s="8">
        <v>7</v>
      </c>
      <c r="E34">
        <v>7.61</v>
      </c>
    </row>
    <row r="35" spans="1:6" x14ac:dyDescent="0.25">
      <c r="B35" t="s">
        <v>141</v>
      </c>
      <c r="C35" s="8">
        <v>6</v>
      </c>
      <c r="D35" s="8">
        <v>7</v>
      </c>
      <c r="E35">
        <v>7.15</v>
      </c>
    </row>
    <row r="36" spans="1:6" x14ac:dyDescent="0.25">
      <c r="B36" t="s">
        <v>142</v>
      </c>
      <c r="C36" s="8">
        <v>6</v>
      </c>
      <c r="D36" s="8">
        <v>7</v>
      </c>
      <c r="E36">
        <v>6.59</v>
      </c>
    </row>
    <row r="37" spans="1:6" x14ac:dyDescent="0.25">
      <c r="B37" t="s">
        <v>143</v>
      </c>
      <c r="C37" s="8">
        <v>6</v>
      </c>
      <c r="D37" s="8">
        <v>7</v>
      </c>
      <c r="E37">
        <v>6.04</v>
      </c>
    </row>
    <row r="38" spans="1:6" x14ac:dyDescent="0.25">
      <c r="B38" t="s">
        <v>392</v>
      </c>
      <c r="C38" s="8">
        <v>5</v>
      </c>
      <c r="D38" s="8">
        <v>7</v>
      </c>
      <c r="E38">
        <v>5.37</v>
      </c>
    </row>
    <row r="39" spans="1:6" x14ac:dyDescent="0.25">
      <c r="B39" t="s">
        <v>535</v>
      </c>
      <c r="C39" s="8">
        <v>4</v>
      </c>
      <c r="D39" s="8">
        <v>6</v>
      </c>
      <c r="E39">
        <v>4.55</v>
      </c>
    </row>
    <row r="40" spans="1:6" x14ac:dyDescent="0.25">
      <c r="B40" t="s">
        <v>536</v>
      </c>
      <c r="C40" s="8">
        <v>4</v>
      </c>
      <c r="D40" s="8">
        <v>5</v>
      </c>
      <c r="E40">
        <v>3.72</v>
      </c>
    </row>
    <row r="41" spans="1:6" x14ac:dyDescent="0.25">
      <c r="B41" t="s">
        <v>970</v>
      </c>
      <c r="C41" s="8">
        <v>3</v>
      </c>
      <c r="D41" s="8">
        <v>4</v>
      </c>
      <c r="E41">
        <v>2.96</v>
      </c>
    </row>
    <row r="42" spans="1:6" x14ac:dyDescent="0.25">
      <c r="B42" t="s">
        <v>971</v>
      </c>
      <c r="C42" s="8">
        <v>2</v>
      </c>
      <c r="D42" s="8">
        <v>3</v>
      </c>
      <c r="E42">
        <v>2.21</v>
      </c>
    </row>
    <row r="43" spans="1:6" x14ac:dyDescent="0.25">
      <c r="B43" t="s">
        <v>972</v>
      </c>
      <c r="C43" s="8">
        <v>1</v>
      </c>
      <c r="D43" s="8">
        <v>2</v>
      </c>
      <c r="E43">
        <v>1.52</v>
      </c>
    </row>
    <row r="44" spans="1:6" x14ac:dyDescent="0.25">
      <c r="B44" t="s">
        <v>1382</v>
      </c>
      <c r="C44" s="8">
        <v>0.5</v>
      </c>
      <c r="D44" s="8">
        <v>1</v>
      </c>
      <c r="E44">
        <v>0.91</v>
      </c>
    </row>
    <row r="45" spans="1:6" x14ac:dyDescent="0.25">
      <c r="B45" t="s">
        <v>397</v>
      </c>
      <c r="C45" s="8">
        <v>0.5</v>
      </c>
      <c r="D45" s="8">
        <v>1</v>
      </c>
      <c r="E45">
        <v>0.63</v>
      </c>
      <c r="F45" t="s">
        <v>1392</v>
      </c>
    </row>
    <row r="46" spans="1:6" x14ac:dyDescent="0.25">
      <c r="B46" t="s">
        <v>144</v>
      </c>
      <c r="C46" s="8">
        <v>100</v>
      </c>
      <c r="D46" s="8">
        <v>100</v>
      </c>
      <c r="E46">
        <v>100</v>
      </c>
    </row>
    <row r="48" spans="1:6" x14ac:dyDescent="0.25">
      <c r="A48" t="s">
        <v>1393</v>
      </c>
    </row>
    <row r="49" spans="2:11" x14ac:dyDescent="0.25">
      <c r="B49" t="s">
        <v>80</v>
      </c>
      <c r="C49" t="s">
        <v>1394</v>
      </c>
      <c r="D49" t="s">
        <v>1395</v>
      </c>
      <c r="I49" t="s">
        <v>1396</v>
      </c>
      <c r="J49" s="89" t="s">
        <v>1397</v>
      </c>
      <c r="K49" t="s">
        <v>1398</v>
      </c>
    </row>
    <row r="50" spans="2:11" x14ac:dyDescent="0.25">
      <c r="B50" s="89" t="s">
        <v>494</v>
      </c>
      <c r="C50" s="49">
        <v>324426.47899999999</v>
      </c>
      <c r="D50" s="41">
        <f>C50/SUM(C$50:C$65)</f>
        <v>9.0557960774821922E-2</v>
      </c>
      <c r="G50">
        <v>4.1407999999999996</v>
      </c>
      <c r="H50">
        <f>G50*1000000</f>
        <v>4140799.9999999995</v>
      </c>
      <c r="I50">
        <v>0.16406160234237874</v>
      </c>
      <c r="J50" s="6">
        <f>C28/100</f>
        <v>0.12</v>
      </c>
      <c r="K50">
        <f>E28/100</f>
        <v>8.8599999999999998E-2</v>
      </c>
    </row>
    <row r="51" spans="2:11" x14ac:dyDescent="0.25">
      <c r="B51" s="22" t="s">
        <v>459</v>
      </c>
      <c r="C51" s="49">
        <v>311369.57299999997</v>
      </c>
      <c r="D51" s="41">
        <f t="shared" ref="D51:D65" si="1">C51/SUM(C$50:C$65)</f>
        <v>8.6913354499054463E-2</v>
      </c>
      <c r="G51">
        <v>3.7029000000000001</v>
      </c>
      <c r="H51" s="89">
        <f t="shared" ref="H51:H65" si="2">G51*1000000</f>
        <v>3702900</v>
      </c>
      <c r="I51" s="89">
        <v>0.14671167583887032</v>
      </c>
      <c r="J51" s="6">
        <f t="shared" ref="J51:J65" si="3">C29/100</f>
        <v>0.1</v>
      </c>
      <c r="K51" s="89">
        <f t="shared" ref="K51:K65" si="4">E29/100</f>
        <v>8.6899999999999991E-2</v>
      </c>
    </row>
    <row r="52" spans="2:11" x14ac:dyDescent="0.25">
      <c r="B52" s="22" t="s">
        <v>338</v>
      </c>
      <c r="C52" s="49">
        <v>297196.91200000001</v>
      </c>
      <c r="D52" s="41">
        <f t="shared" si="1"/>
        <v>8.295730478674708E-2</v>
      </c>
      <c r="G52">
        <v>3.3498999999999999</v>
      </c>
      <c r="H52" s="89">
        <f t="shared" si="2"/>
        <v>3349900</v>
      </c>
      <c r="I52" s="89">
        <v>0.13272555102558312</v>
      </c>
      <c r="J52" s="6">
        <f t="shared" si="3"/>
        <v>0.09</v>
      </c>
      <c r="K52" s="89">
        <f t="shared" si="4"/>
        <v>8.5999999999999993E-2</v>
      </c>
    </row>
    <row r="53" spans="2:11" x14ac:dyDescent="0.25">
      <c r="B53" s="89" t="s">
        <v>137</v>
      </c>
      <c r="C53" s="49">
        <v>290909.82</v>
      </c>
      <c r="D53" s="41">
        <f t="shared" si="1"/>
        <v>8.1202373338245634E-2</v>
      </c>
      <c r="F53" s="89">
        <v>3003700</v>
      </c>
      <c r="G53">
        <v>3.0036999999999998</v>
      </c>
      <c r="H53" s="89">
        <f t="shared" si="2"/>
        <v>3003700</v>
      </c>
      <c r="I53" s="89">
        <v>0.11900884731351503</v>
      </c>
      <c r="J53" s="6">
        <f t="shared" si="3"/>
        <v>0.09</v>
      </c>
      <c r="K53" s="89">
        <f t="shared" si="4"/>
        <v>8.4700000000000011E-2</v>
      </c>
    </row>
    <row r="54" spans="2:11" x14ac:dyDescent="0.25">
      <c r="B54" s="89" t="s">
        <v>138</v>
      </c>
      <c r="C54" s="49">
        <v>290007.14399999997</v>
      </c>
      <c r="D54" s="41">
        <f t="shared" si="1"/>
        <v>8.0950407166888894E-2</v>
      </c>
      <c r="F54" s="89">
        <v>2588500</v>
      </c>
      <c r="G54">
        <v>2.5884999999999998</v>
      </c>
      <c r="H54" s="89">
        <f t="shared" si="2"/>
        <v>2588500</v>
      </c>
      <c r="I54" s="89">
        <v>0.10255831183907636</v>
      </c>
      <c r="J54" s="6">
        <f t="shared" si="3"/>
        <v>0.08</v>
      </c>
      <c r="K54" s="89">
        <f t="shared" si="4"/>
        <v>8.2200000000000009E-2</v>
      </c>
    </row>
    <row r="55" spans="2:11" x14ac:dyDescent="0.25">
      <c r="B55" s="89" t="s">
        <v>139</v>
      </c>
      <c r="C55" s="49">
        <v>297821.63199999998</v>
      </c>
      <c r="D55" s="41">
        <f t="shared" si="1"/>
        <v>8.3131684416392682E-2</v>
      </c>
      <c r="F55" s="89">
        <v>2123200</v>
      </c>
      <c r="G55">
        <v>2.1232000000000002</v>
      </c>
      <c r="H55" s="89">
        <f t="shared" si="2"/>
        <v>2123200</v>
      </c>
      <c r="I55" s="89">
        <v>8.4122776780655564E-2</v>
      </c>
      <c r="J55" s="6">
        <f t="shared" si="3"/>
        <v>0.08</v>
      </c>
      <c r="K55" s="89">
        <f t="shared" si="4"/>
        <v>7.9299999999999995E-2</v>
      </c>
    </row>
    <row r="56" spans="2:11" x14ac:dyDescent="0.25">
      <c r="B56" s="89" t="s">
        <v>140</v>
      </c>
      <c r="C56" s="49">
        <v>270533.93</v>
      </c>
      <c r="D56" s="41">
        <f t="shared" si="1"/>
        <v>7.5514801062826986E-2</v>
      </c>
      <c r="F56" s="89">
        <v>1668200</v>
      </c>
      <c r="G56">
        <v>1.6681999999999999</v>
      </c>
      <c r="H56" s="89">
        <f t="shared" si="2"/>
        <v>1668200</v>
      </c>
      <c r="I56" s="89">
        <v>6.6095335449081388E-2</v>
      </c>
      <c r="J56" s="6">
        <f t="shared" si="3"/>
        <v>0.06</v>
      </c>
      <c r="K56" s="89">
        <f t="shared" si="4"/>
        <v>7.6100000000000001E-2</v>
      </c>
    </row>
    <row r="57" spans="2:11" x14ac:dyDescent="0.25">
      <c r="B57" s="89" t="s">
        <v>141</v>
      </c>
      <c r="C57" s="49">
        <v>247008.32800000001</v>
      </c>
      <c r="D57" s="41">
        <f t="shared" si="1"/>
        <v>6.8948041932416826E-2</v>
      </c>
      <c r="F57" s="89">
        <v>1266800</v>
      </c>
      <c r="G57">
        <v>1.2667999999999999</v>
      </c>
      <c r="H57" s="89">
        <f t="shared" si="2"/>
        <v>1266800</v>
      </c>
      <c r="I57" s="89">
        <v>5.0191566327116841E-2</v>
      </c>
      <c r="J57" s="6">
        <f t="shared" si="3"/>
        <v>0.06</v>
      </c>
      <c r="K57" s="89">
        <f t="shared" si="4"/>
        <v>7.1500000000000008E-2</v>
      </c>
    </row>
    <row r="58" spans="2:11" x14ac:dyDescent="0.25">
      <c r="B58" s="89" t="s">
        <v>142</v>
      </c>
      <c r="C58" s="49">
        <v>241397.23199999999</v>
      </c>
      <c r="D58" s="41">
        <f t="shared" si="1"/>
        <v>6.7381802909517091E-2</v>
      </c>
      <c r="F58" s="89">
        <v>949300</v>
      </c>
      <c r="G58">
        <v>0.94930000000000003</v>
      </c>
      <c r="H58" s="89">
        <f t="shared" si="2"/>
        <v>949300</v>
      </c>
      <c r="I58" s="89">
        <v>3.7611978145194201E-2</v>
      </c>
      <c r="J58" s="6">
        <f t="shared" si="3"/>
        <v>0.06</v>
      </c>
      <c r="K58" s="89">
        <f t="shared" si="4"/>
        <v>6.59E-2</v>
      </c>
    </row>
    <row r="59" spans="2:11" x14ac:dyDescent="0.25">
      <c r="B59" s="89" t="s">
        <v>143</v>
      </c>
      <c r="C59" s="49">
        <v>227487.908</v>
      </c>
      <c r="D59" s="41">
        <f t="shared" si="1"/>
        <v>6.3499259101506E-2</v>
      </c>
      <c r="F59" s="89">
        <v>711700</v>
      </c>
      <c r="G59">
        <v>0.7117</v>
      </c>
      <c r="H59" s="89">
        <f t="shared" si="2"/>
        <v>711700</v>
      </c>
      <c r="I59" s="89">
        <v>2.8198087902596349E-2</v>
      </c>
      <c r="J59" s="6">
        <f t="shared" si="3"/>
        <v>0.06</v>
      </c>
      <c r="K59" s="89">
        <f t="shared" si="4"/>
        <v>6.0400000000000002E-2</v>
      </c>
    </row>
    <row r="60" spans="2:11" x14ac:dyDescent="0.25">
      <c r="B60" s="89" t="s">
        <v>392</v>
      </c>
      <c r="C60" s="49">
        <v>201179.943</v>
      </c>
      <c r="D60" s="41">
        <f t="shared" si="1"/>
        <v>5.6155852145702664E-2</v>
      </c>
      <c r="F60" s="89">
        <v>532700</v>
      </c>
      <c r="G60">
        <v>0.53269999999999995</v>
      </c>
      <c r="H60" s="89">
        <f t="shared" si="2"/>
        <v>532700</v>
      </c>
      <c r="I60" s="89">
        <v>2.110597362050453E-2</v>
      </c>
      <c r="J60" s="6">
        <f t="shared" si="3"/>
        <v>0.05</v>
      </c>
      <c r="K60" s="89">
        <f t="shared" si="4"/>
        <v>5.3699999999999998E-2</v>
      </c>
    </row>
    <row r="61" spans="2:11" x14ac:dyDescent="0.25">
      <c r="B61" s="89" t="s">
        <v>535</v>
      </c>
      <c r="C61" s="49">
        <v>172316.299</v>
      </c>
      <c r="D61" s="41">
        <f t="shared" si="1"/>
        <v>4.8099072226790975E-2</v>
      </c>
      <c r="F61" s="89">
        <v>405200</v>
      </c>
      <c r="G61">
        <v>0.4052</v>
      </c>
      <c r="H61" s="89">
        <f t="shared" si="2"/>
        <v>405200</v>
      </c>
      <c r="I61" s="89">
        <v>1.6054327972645836E-2</v>
      </c>
      <c r="J61" s="6">
        <f t="shared" si="3"/>
        <v>0.04</v>
      </c>
      <c r="K61" s="89">
        <f t="shared" si="4"/>
        <v>4.5499999999999999E-2</v>
      </c>
    </row>
    <row r="62" spans="2:11" x14ac:dyDescent="0.25">
      <c r="B62" s="89" t="s">
        <v>536</v>
      </c>
      <c r="C62" s="49">
        <v>150609.92300000001</v>
      </c>
      <c r="D62" s="41">
        <f t="shared" si="1"/>
        <v>4.2040118122827298E-2</v>
      </c>
      <c r="F62" s="89">
        <v>308400</v>
      </c>
      <c r="G62">
        <v>0.30840000000000001</v>
      </c>
      <c r="H62" s="89">
        <f t="shared" si="2"/>
        <v>308400</v>
      </c>
      <c r="I62" s="89">
        <v>1.2219039355291153E-2</v>
      </c>
      <c r="J62" s="6">
        <f t="shared" si="3"/>
        <v>0.04</v>
      </c>
      <c r="K62" s="89">
        <f t="shared" si="4"/>
        <v>3.7200000000000004E-2</v>
      </c>
    </row>
    <row r="63" spans="2:11" x14ac:dyDescent="0.25">
      <c r="B63" s="89" t="s">
        <v>970</v>
      </c>
      <c r="C63" s="49">
        <v>113307.337</v>
      </c>
      <c r="D63" s="41">
        <f t="shared" si="1"/>
        <v>3.1627755574000257E-2</v>
      </c>
      <c r="F63" s="89">
        <v>228700</v>
      </c>
      <c r="G63">
        <v>0.22869999999999999</v>
      </c>
      <c r="H63" s="89">
        <f t="shared" si="2"/>
        <v>228700</v>
      </c>
      <c r="I63" s="89">
        <v>9.0612655660022266E-3</v>
      </c>
      <c r="J63" s="6">
        <f t="shared" si="3"/>
        <v>0.03</v>
      </c>
      <c r="K63" s="89">
        <f t="shared" si="4"/>
        <v>2.9600000000000001E-2</v>
      </c>
    </row>
    <row r="64" spans="2:11" x14ac:dyDescent="0.25">
      <c r="B64" s="89" t="s">
        <v>971</v>
      </c>
      <c r="C64" s="49">
        <v>82434.652000000002</v>
      </c>
      <c r="D64" s="41">
        <f t="shared" si="1"/>
        <v>2.3010187100979806E-2</v>
      </c>
      <c r="F64" s="89">
        <v>159300</v>
      </c>
      <c r="G64">
        <v>0.1593</v>
      </c>
      <c r="H64" s="89">
        <f t="shared" si="2"/>
        <v>159300</v>
      </c>
      <c r="I64" s="89">
        <v>6.3115855035599244E-3</v>
      </c>
      <c r="J64" s="6">
        <f t="shared" si="3"/>
        <v>0.02</v>
      </c>
      <c r="K64" s="89">
        <f t="shared" si="4"/>
        <v>2.2099999999999998E-2</v>
      </c>
    </row>
    <row r="65" spans="2:11" x14ac:dyDescent="0.25">
      <c r="B65" s="89" t="s">
        <v>972</v>
      </c>
      <c r="C65" s="49">
        <v>64521.428</v>
      </c>
      <c r="D65" s="41">
        <f t="shared" si="1"/>
        <v>1.8010024841281516E-2</v>
      </c>
      <c r="F65" s="89">
        <v>100000</v>
      </c>
      <c r="G65">
        <v>0.1</v>
      </c>
      <c r="H65" s="89">
        <f t="shared" si="2"/>
        <v>100000</v>
      </c>
      <c r="I65" s="89">
        <v>3.9620750179283895E-3</v>
      </c>
      <c r="J65" s="6">
        <f t="shared" si="3"/>
        <v>0.01</v>
      </c>
      <c r="K65" s="89">
        <f t="shared" si="4"/>
        <v>1.52E-2</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4"/>
  <sheetViews>
    <sheetView topLeftCell="A268" workbookViewId="0">
      <selection activeCell="C285" sqref="C28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1239</v>
      </c>
    </row>
    <row r="96" spans="1:25" x14ac:dyDescent="0.25">
      <c r="B96" t="s">
        <v>239</v>
      </c>
      <c r="C96">
        <v>2003</v>
      </c>
      <c r="D96">
        <v>17.8</v>
      </c>
      <c r="E96">
        <v>17.100000000000001</v>
      </c>
      <c r="L96" t="s">
        <v>490</v>
      </c>
      <c r="M96" t="s">
        <v>1240</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1346</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1347</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0.03</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0.90037</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topLeftCell="H30" workbookViewId="0">
      <selection activeCell="Q40" sqref="Q40:Q45"/>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1291</v>
      </c>
      <c r="O2" t="s">
        <v>1293</v>
      </c>
    </row>
    <row r="3" spans="1:19" x14ac:dyDescent="0.25">
      <c r="B3" t="s">
        <v>80</v>
      </c>
      <c r="C3" t="s">
        <v>232</v>
      </c>
      <c r="E3" t="s">
        <v>80</v>
      </c>
      <c r="F3" t="s">
        <v>1251</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1292</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1252</v>
      </c>
    </row>
    <row r="14" spans="1:19" s="37" customFormat="1" x14ac:dyDescent="0.25">
      <c r="B14" s="37" t="s">
        <v>1250</v>
      </c>
      <c r="G14" s="37" t="s">
        <v>1291</v>
      </c>
      <c r="N14" s="37" t="s">
        <v>1369</v>
      </c>
    </row>
    <row r="15" spans="1:19" s="37" customFormat="1" x14ac:dyDescent="0.25">
      <c r="B15" s="37" t="s">
        <v>80</v>
      </c>
      <c r="C15" s="37" t="s">
        <v>232</v>
      </c>
      <c r="D15" s="37" t="s">
        <v>575</v>
      </c>
      <c r="E15" s="37" t="s">
        <v>576</v>
      </c>
      <c r="G15" s="37" t="s">
        <v>80</v>
      </c>
      <c r="H15" s="37" t="s">
        <v>232</v>
      </c>
      <c r="I15" s="37" t="s">
        <v>575</v>
      </c>
      <c r="J15" s="37" t="s">
        <v>576</v>
      </c>
      <c r="L15" s="37" t="s">
        <v>1293</v>
      </c>
      <c r="N15" s="37" t="s">
        <v>80</v>
      </c>
      <c r="O15" s="37" t="s">
        <v>429</v>
      </c>
      <c r="P15" s="37" t="s">
        <v>1370</v>
      </c>
      <c r="Q15" s="37" t="s">
        <v>1371</v>
      </c>
      <c r="R15" s="37" t="s">
        <v>1372</v>
      </c>
    </row>
    <row r="16" spans="1:19" s="37" customFormat="1" x14ac:dyDescent="0.25">
      <c r="B16" s="37" t="s">
        <v>137</v>
      </c>
      <c r="C16" s="37">
        <v>37</v>
      </c>
      <c r="D16" s="37">
        <v>22.2</v>
      </c>
      <c r="E16" s="37">
        <v>54.8</v>
      </c>
      <c r="G16" s="37" t="s">
        <v>137</v>
      </c>
      <c r="H16" s="7">
        <v>37.1738</v>
      </c>
      <c r="I16" s="7">
        <v>20.588000000000001</v>
      </c>
      <c r="J16" s="7">
        <v>53.759500000000003</v>
      </c>
      <c r="L16" s="7">
        <v>37.1738</v>
      </c>
      <c r="N16" s="37" t="s">
        <v>137</v>
      </c>
      <c r="O16" s="37">
        <v>75.773700000000005</v>
      </c>
      <c r="P16" s="37">
        <v>3.0091000000000001</v>
      </c>
      <c r="Q16" s="37">
        <v>69.857200000000006</v>
      </c>
      <c r="R16" s="37">
        <v>81.690200000000004</v>
      </c>
    </row>
    <row r="17" spans="1:19"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c r="N17" s="37" t="s">
        <v>138</v>
      </c>
      <c r="O17" s="37">
        <v>88.591200000000001</v>
      </c>
      <c r="P17" s="37">
        <v>1.8574999999999999</v>
      </c>
      <c r="Q17" s="37">
        <v>84.938900000000004</v>
      </c>
      <c r="R17" s="37">
        <v>92.243499999999997</v>
      </c>
    </row>
    <row r="18" spans="1:19" s="37" customFormat="1" x14ac:dyDescent="0.25">
      <c r="B18" s="37" t="s">
        <v>139</v>
      </c>
      <c r="C18" s="37">
        <v>39</v>
      </c>
      <c r="D18" s="37">
        <v>25.8</v>
      </c>
      <c r="E18" s="37">
        <v>54</v>
      </c>
      <c r="G18" s="37" t="s">
        <v>139</v>
      </c>
      <c r="H18" s="7">
        <v>39.555999999999997</v>
      </c>
      <c r="I18" s="7">
        <v>25.258800000000001</v>
      </c>
      <c r="J18" s="7">
        <v>53.853200000000001</v>
      </c>
      <c r="L18" s="7">
        <v>39.555999999999997</v>
      </c>
      <c r="N18" s="37" t="s">
        <v>139</v>
      </c>
      <c r="O18" s="37">
        <v>85.132099999999994</v>
      </c>
      <c r="P18" s="37">
        <v>2.5583</v>
      </c>
      <c r="Q18" s="37">
        <v>80.101799999999997</v>
      </c>
      <c r="R18" s="37">
        <v>90.162400000000005</v>
      </c>
    </row>
    <row r="19" spans="1:19" s="37" customFormat="1" x14ac:dyDescent="0.25">
      <c r="B19" s="37" t="s">
        <v>140</v>
      </c>
      <c r="C19" s="37">
        <v>55.4</v>
      </c>
      <c r="D19" s="37">
        <v>32.6</v>
      </c>
      <c r="E19" s="37">
        <v>76.2</v>
      </c>
      <c r="G19" s="37" t="s">
        <v>156</v>
      </c>
      <c r="H19" s="7">
        <v>55.9163</v>
      </c>
      <c r="I19" s="7">
        <v>37.942700000000002</v>
      </c>
      <c r="J19" s="7">
        <v>73.889899999999997</v>
      </c>
      <c r="L19" s="7">
        <f>H19-20</f>
        <v>35.9163</v>
      </c>
      <c r="N19" s="37" t="s">
        <v>156</v>
      </c>
      <c r="O19" s="37">
        <v>89.497699999999995</v>
      </c>
      <c r="P19" s="37">
        <v>1.8373999999999999</v>
      </c>
      <c r="Q19" s="37">
        <v>85.885099999999994</v>
      </c>
      <c r="R19" s="37">
        <v>93.110399999999998</v>
      </c>
    </row>
    <row r="20" spans="1:19" s="37" customFormat="1" x14ac:dyDescent="0.25">
      <c r="B20" s="37" t="s">
        <v>141</v>
      </c>
      <c r="C20" s="37">
        <v>55.9</v>
      </c>
      <c r="D20" s="37">
        <v>37.6</v>
      </c>
      <c r="E20" s="37">
        <v>72.7</v>
      </c>
      <c r="G20" s="37" t="s">
        <v>157</v>
      </c>
      <c r="H20" s="7">
        <v>60.321199999999997</v>
      </c>
      <c r="I20" s="7">
        <v>40.520200000000003</v>
      </c>
      <c r="J20" s="7">
        <v>80.122200000000007</v>
      </c>
      <c r="L20" s="7">
        <f>H20-20</f>
        <v>40.321199999999997</v>
      </c>
      <c r="N20" s="37" t="s">
        <v>157</v>
      </c>
      <c r="O20" s="37">
        <v>91.931600000000003</v>
      </c>
      <c r="P20" s="37">
        <v>1.6116999999999999</v>
      </c>
      <c r="Q20" s="37">
        <v>88.762600000000006</v>
      </c>
      <c r="R20" s="37">
        <v>95.1006</v>
      </c>
    </row>
    <row r="21" spans="1:19" s="37" customFormat="1" x14ac:dyDescent="0.25">
      <c r="B21" s="37" t="s">
        <v>142</v>
      </c>
      <c r="C21" s="37">
        <v>58</v>
      </c>
      <c r="D21" s="37">
        <v>32.200000000000003</v>
      </c>
      <c r="E21" s="37">
        <v>80.099999999999994</v>
      </c>
      <c r="G21" s="37" t="s">
        <v>1292</v>
      </c>
      <c r="H21" s="7">
        <v>39.386299999999999</v>
      </c>
      <c r="I21" s="7">
        <v>20.154800000000002</v>
      </c>
      <c r="J21" s="7">
        <v>58.617699999999999</v>
      </c>
      <c r="L21" s="7">
        <f>H21-20</f>
        <v>19.386299999999999</v>
      </c>
      <c r="N21" s="37" t="s">
        <v>1292</v>
      </c>
      <c r="O21" s="37">
        <v>89.096400000000003</v>
      </c>
      <c r="P21" s="37">
        <v>2.7677</v>
      </c>
      <c r="Q21" s="37">
        <v>83.654399999999995</v>
      </c>
      <c r="R21" s="37">
        <v>94.538399999999996</v>
      </c>
    </row>
    <row r="22" spans="1:19" s="37" customFormat="1" x14ac:dyDescent="0.25">
      <c r="B22" s="37" t="s">
        <v>143</v>
      </c>
      <c r="C22" s="37">
        <v>60.1</v>
      </c>
      <c r="D22" s="37">
        <v>35.5</v>
      </c>
      <c r="E22" s="37">
        <v>80.5</v>
      </c>
    </row>
    <row r="23" spans="1:19" s="37" customFormat="1" x14ac:dyDescent="0.25"/>
    <row r="25" spans="1:19" x14ac:dyDescent="0.25">
      <c r="A25" s="2" t="s">
        <v>1254</v>
      </c>
    </row>
    <row r="26" spans="1:19" x14ac:dyDescent="0.25">
      <c r="B26" t="s">
        <v>417</v>
      </c>
      <c r="F26" t="s">
        <v>179</v>
      </c>
      <c r="G26">
        <v>2007</v>
      </c>
      <c r="J26">
        <v>2012</v>
      </c>
      <c r="N26">
        <v>2007</v>
      </c>
      <c r="Q26">
        <v>2012</v>
      </c>
    </row>
    <row r="27" spans="1:19" x14ac:dyDescent="0.25">
      <c r="C27">
        <v>2007</v>
      </c>
      <c r="D27">
        <v>2012</v>
      </c>
      <c r="F27" t="s">
        <v>246</v>
      </c>
      <c r="G27" t="s">
        <v>1251</v>
      </c>
      <c r="H27" t="s">
        <v>575</v>
      </c>
      <c r="I27" t="s">
        <v>576</v>
      </c>
      <c r="J27" t="s">
        <v>232</v>
      </c>
      <c r="K27" t="s">
        <v>575</v>
      </c>
      <c r="L27" t="s">
        <v>576</v>
      </c>
      <c r="M27" s="89" t="s">
        <v>1353</v>
      </c>
      <c r="N27" s="89" t="s">
        <v>1367</v>
      </c>
      <c r="O27" s="89" t="s">
        <v>1365</v>
      </c>
      <c r="P27" s="89" t="s">
        <v>1366</v>
      </c>
      <c r="Q27" s="89" t="s">
        <v>1367</v>
      </c>
      <c r="R27" s="89" t="s">
        <v>1368</v>
      </c>
      <c r="S27" s="89" t="s">
        <v>1366</v>
      </c>
    </row>
    <row r="28" spans="1:19" x14ac:dyDescent="0.25">
      <c r="B28" s="81" t="s">
        <v>158</v>
      </c>
      <c r="C28" s="81">
        <v>48.2</v>
      </c>
      <c r="D28" s="81">
        <v>66.3</v>
      </c>
      <c r="F28" t="s">
        <v>155</v>
      </c>
      <c r="G28" t="s">
        <v>1259</v>
      </c>
      <c r="H28" t="s">
        <v>1264</v>
      </c>
      <c r="I28" t="s">
        <v>1268</v>
      </c>
      <c r="J28" t="s">
        <v>1273</v>
      </c>
      <c r="K28" t="s">
        <v>1278</v>
      </c>
      <c r="L28" t="s">
        <v>1283</v>
      </c>
      <c r="M28" s="89" t="s">
        <v>1354</v>
      </c>
      <c r="N28" s="89">
        <v>2008</v>
      </c>
      <c r="O28" s="89">
        <v>2513</v>
      </c>
      <c r="P28" s="89" t="s">
        <v>1355</v>
      </c>
      <c r="Q28" s="89">
        <v>1690</v>
      </c>
      <c r="R28" s="89">
        <v>1911</v>
      </c>
      <c r="S28" s="89" t="s">
        <v>1356</v>
      </c>
    </row>
    <row r="29" spans="1:19" x14ac:dyDescent="0.25">
      <c r="B29" t="s">
        <v>28</v>
      </c>
      <c r="C29">
        <v>85</v>
      </c>
      <c r="D29">
        <v>91.2</v>
      </c>
      <c r="F29" s="37" t="s">
        <v>1255</v>
      </c>
      <c r="G29" s="37" t="s">
        <v>1260</v>
      </c>
      <c r="H29" s="37" t="s">
        <v>1265</v>
      </c>
      <c r="I29" s="37" t="s">
        <v>1269</v>
      </c>
      <c r="J29" s="37" t="s">
        <v>1274</v>
      </c>
      <c r="K29" s="37" t="s">
        <v>1279</v>
      </c>
      <c r="L29" s="37" t="s">
        <v>1284</v>
      </c>
      <c r="M29" s="89" t="s">
        <v>1255</v>
      </c>
      <c r="N29" s="89">
        <v>1654</v>
      </c>
      <c r="O29" s="89">
        <v>1881</v>
      </c>
      <c r="P29" s="89" t="s">
        <v>1357</v>
      </c>
      <c r="Q29" s="89">
        <v>1435</v>
      </c>
      <c r="R29" s="89">
        <v>1538</v>
      </c>
      <c r="S29" s="89" t="s">
        <v>1358</v>
      </c>
    </row>
    <row r="30" spans="1:19" x14ac:dyDescent="0.25">
      <c r="F30" s="37" t="s">
        <v>1256</v>
      </c>
      <c r="G30" s="37" t="s">
        <v>1261</v>
      </c>
      <c r="H30" s="37" t="s">
        <v>1264</v>
      </c>
      <c r="I30" s="37" t="s">
        <v>1270</v>
      </c>
      <c r="J30" s="37" t="s">
        <v>1275</v>
      </c>
      <c r="K30" s="37" t="s">
        <v>1280</v>
      </c>
      <c r="L30" s="37" t="s">
        <v>1285</v>
      </c>
      <c r="M30" s="89" t="s">
        <v>1256</v>
      </c>
      <c r="N30" s="89">
        <v>1249</v>
      </c>
      <c r="O30" s="89">
        <v>1410</v>
      </c>
      <c r="P30" s="89" t="s">
        <v>1359</v>
      </c>
      <c r="Q30" s="89">
        <v>994</v>
      </c>
      <c r="R30" s="89">
        <v>1070</v>
      </c>
      <c r="S30" s="89" t="s">
        <v>1360</v>
      </c>
    </row>
    <row r="31" spans="1:19" x14ac:dyDescent="0.25">
      <c r="B31" t="s">
        <v>418</v>
      </c>
      <c r="F31" s="37" t="s">
        <v>1257</v>
      </c>
      <c r="G31" s="37" t="s">
        <v>1262</v>
      </c>
      <c r="H31" s="37" t="s">
        <v>1266</v>
      </c>
      <c r="I31" s="37" t="s">
        <v>1271</v>
      </c>
      <c r="J31" s="37" t="s">
        <v>1276</v>
      </c>
      <c r="K31" s="37" t="s">
        <v>1281</v>
      </c>
      <c r="L31" s="37" t="s">
        <v>1286</v>
      </c>
      <c r="M31" s="89" t="s">
        <v>1257</v>
      </c>
      <c r="N31" s="89">
        <v>953</v>
      </c>
      <c r="O31" s="89">
        <v>1078</v>
      </c>
      <c r="P31" s="89" t="s">
        <v>1361</v>
      </c>
      <c r="Q31" s="89">
        <v>657</v>
      </c>
      <c r="R31" s="89">
        <v>725</v>
      </c>
      <c r="S31" s="89" t="s">
        <v>1362</v>
      </c>
    </row>
    <row r="32" spans="1:19" x14ac:dyDescent="0.25">
      <c r="C32">
        <v>2007</v>
      </c>
      <c r="D32">
        <v>2012</v>
      </c>
      <c r="F32" s="37" t="s">
        <v>1258</v>
      </c>
      <c r="G32" s="37" t="s">
        <v>1263</v>
      </c>
      <c r="H32" s="37" t="s">
        <v>1267</v>
      </c>
      <c r="I32" s="37" t="s">
        <v>1272</v>
      </c>
      <c r="J32" s="37" t="s">
        <v>1277</v>
      </c>
      <c r="K32" s="37" t="s">
        <v>1282</v>
      </c>
      <c r="L32" s="37" t="s">
        <v>1287</v>
      </c>
      <c r="M32" s="89" t="s">
        <v>1258</v>
      </c>
      <c r="N32" s="89">
        <v>722</v>
      </c>
      <c r="O32" s="89">
        <v>796</v>
      </c>
      <c r="P32" s="89" t="s">
        <v>1363</v>
      </c>
      <c r="Q32" s="89">
        <v>453</v>
      </c>
      <c r="R32" s="89">
        <v>494</v>
      </c>
      <c r="S32" s="89" t="s">
        <v>1364</v>
      </c>
    </row>
    <row r="33" spans="1:20" x14ac:dyDescent="0.25">
      <c r="B33" t="s">
        <v>419</v>
      </c>
      <c r="C33">
        <v>4.0999999999999996</v>
      </c>
      <c r="D33">
        <v>3.1</v>
      </c>
    </row>
    <row r="34" spans="1:20" x14ac:dyDescent="0.25">
      <c r="B34" t="s">
        <v>420</v>
      </c>
      <c r="C34">
        <v>14.8</v>
      </c>
      <c r="D34">
        <v>16.899999999999999</v>
      </c>
    </row>
    <row r="35" spans="1:20" x14ac:dyDescent="0.25">
      <c r="B35" t="s">
        <v>144</v>
      </c>
      <c r="C35">
        <v>5.9</v>
      </c>
      <c r="D35">
        <v>4.4000000000000004</v>
      </c>
    </row>
    <row r="37" spans="1:20" x14ac:dyDescent="0.25">
      <c r="A37" s="2" t="s">
        <v>1253</v>
      </c>
    </row>
    <row r="38" spans="1:20" x14ac:dyDescent="0.25">
      <c r="A38" t="s">
        <v>230</v>
      </c>
      <c r="B38" t="s">
        <v>231</v>
      </c>
      <c r="F38" t="s">
        <v>179</v>
      </c>
      <c r="J38" t="s">
        <v>1291</v>
      </c>
      <c r="P38" t="s">
        <v>1369</v>
      </c>
    </row>
    <row r="39" spans="1:20" x14ac:dyDescent="0.25">
      <c r="B39" t="s">
        <v>80</v>
      </c>
      <c r="C39" t="s">
        <v>232</v>
      </c>
      <c r="F39" s="37" t="s">
        <v>80</v>
      </c>
      <c r="G39" s="37" t="s">
        <v>232</v>
      </c>
      <c r="H39" t="s">
        <v>575</v>
      </c>
      <c r="I39" t="s">
        <v>576</v>
      </c>
      <c r="J39" t="s">
        <v>80</v>
      </c>
      <c r="K39" t="s">
        <v>232</v>
      </c>
      <c r="L39" t="s">
        <v>575</v>
      </c>
      <c r="M39" t="s">
        <v>576</v>
      </c>
      <c r="P39" t="s">
        <v>80</v>
      </c>
      <c r="Q39" t="s">
        <v>1373</v>
      </c>
      <c r="R39" t="s">
        <v>1374</v>
      </c>
      <c r="S39" t="s">
        <v>1375</v>
      </c>
      <c r="T39" t="s">
        <v>1376</v>
      </c>
    </row>
    <row r="40" spans="1:20"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c r="P40" s="89" t="s">
        <v>137</v>
      </c>
      <c r="Q40">
        <v>81.041499999999999</v>
      </c>
      <c r="R40">
        <v>2.4975999999999998</v>
      </c>
      <c r="S40">
        <v>76.115799999999993</v>
      </c>
      <c r="T40">
        <v>85.967299999999994</v>
      </c>
    </row>
    <row r="41" spans="1:20" x14ac:dyDescent="0.25">
      <c r="B41" t="s">
        <v>137</v>
      </c>
      <c r="C41">
        <v>87.1</v>
      </c>
      <c r="F41" s="37" t="s">
        <v>138</v>
      </c>
      <c r="G41" s="37">
        <v>82.2</v>
      </c>
      <c r="H41">
        <v>76.3</v>
      </c>
      <c r="I41">
        <v>86.9</v>
      </c>
      <c r="J41" s="37" t="s">
        <v>138</v>
      </c>
      <c r="K41" s="7">
        <v>82.239800000000002</v>
      </c>
      <c r="L41" s="7">
        <v>76.9679</v>
      </c>
      <c r="M41" s="7">
        <v>87.511799999999994</v>
      </c>
      <c r="O41" s="7">
        <f>K41-9.5</f>
        <v>72.739800000000002</v>
      </c>
      <c r="P41" s="89" t="s">
        <v>138</v>
      </c>
      <c r="Q41">
        <v>82.239800000000002</v>
      </c>
      <c r="R41">
        <v>2.6730999999999998</v>
      </c>
      <c r="S41">
        <v>76.9679</v>
      </c>
      <c r="T41">
        <v>87.511799999999994</v>
      </c>
    </row>
    <row r="42" spans="1:20"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c r="P42" s="89" t="s">
        <v>139</v>
      </c>
      <c r="Q42">
        <v>70.877099999999999</v>
      </c>
      <c r="R42">
        <v>3.7351999999999999</v>
      </c>
      <c r="S42">
        <v>63.5105</v>
      </c>
      <c r="T42">
        <v>78.243700000000004</v>
      </c>
    </row>
    <row r="43" spans="1:20" x14ac:dyDescent="0.25">
      <c r="B43" t="s">
        <v>139</v>
      </c>
      <c r="C43">
        <v>94.6</v>
      </c>
      <c r="F43" s="37" t="s">
        <v>140</v>
      </c>
      <c r="G43" s="37">
        <v>66.8</v>
      </c>
      <c r="H43">
        <v>58.4</v>
      </c>
      <c r="I43">
        <v>74.2</v>
      </c>
      <c r="J43" t="s">
        <v>156</v>
      </c>
      <c r="K43" s="7">
        <v>63.777799999999999</v>
      </c>
      <c r="L43" s="7">
        <v>58.135199999999998</v>
      </c>
      <c r="M43" s="7">
        <v>69.420400000000001</v>
      </c>
      <c r="O43" s="7">
        <f>K43-20</f>
        <v>43.777799999999999</v>
      </c>
      <c r="P43" s="89" t="s">
        <v>156</v>
      </c>
      <c r="Q43">
        <v>63.777799999999999</v>
      </c>
      <c r="R43">
        <v>2.8611</v>
      </c>
      <c r="S43">
        <v>58.135199999999998</v>
      </c>
      <c r="T43">
        <v>69.420400000000001</v>
      </c>
    </row>
    <row r="44" spans="1:20" x14ac:dyDescent="0.25">
      <c r="B44" t="s">
        <v>156</v>
      </c>
      <c r="C44">
        <v>93.4</v>
      </c>
      <c r="F44" s="37" t="s">
        <v>141</v>
      </c>
      <c r="G44" s="37">
        <v>60.8</v>
      </c>
      <c r="H44">
        <v>53</v>
      </c>
      <c r="I44">
        <v>68.099999999999994</v>
      </c>
      <c r="J44" t="s">
        <v>157</v>
      </c>
      <c r="K44" s="7">
        <v>61.665799999999997</v>
      </c>
      <c r="L44" s="7">
        <v>53.512</v>
      </c>
      <c r="M44" s="7">
        <v>69.819500000000005</v>
      </c>
      <c r="O44" s="7">
        <f>K44-20</f>
        <v>41.665799999999997</v>
      </c>
      <c r="P44" s="89" t="s">
        <v>157</v>
      </c>
      <c r="Q44">
        <v>61.665799999999997</v>
      </c>
      <c r="R44">
        <v>4.1342999999999996</v>
      </c>
      <c r="S44">
        <v>53.512</v>
      </c>
      <c r="T44">
        <v>69.819500000000005</v>
      </c>
    </row>
    <row r="45" spans="1:20" x14ac:dyDescent="0.25">
      <c r="B45" t="s">
        <v>157</v>
      </c>
      <c r="C45">
        <v>91.9</v>
      </c>
      <c r="F45" s="37" t="s">
        <v>142</v>
      </c>
      <c r="G45" s="37">
        <v>57.5</v>
      </c>
      <c r="H45">
        <v>46.7</v>
      </c>
      <c r="I45">
        <v>68</v>
      </c>
      <c r="J45" t="s">
        <v>1292</v>
      </c>
      <c r="K45" s="7">
        <v>60.636200000000002</v>
      </c>
      <c r="L45" s="7">
        <v>48.070700000000002</v>
      </c>
      <c r="M45" s="7">
        <v>73.201800000000006</v>
      </c>
      <c r="O45" s="7">
        <f>K45-20</f>
        <v>40.636200000000002</v>
      </c>
      <c r="P45" s="89" t="s">
        <v>1292</v>
      </c>
      <c r="Q45">
        <v>60.636200000000002</v>
      </c>
      <c r="R45">
        <v>6.3712999999999997</v>
      </c>
      <c r="S45">
        <v>48.070700000000002</v>
      </c>
      <c r="T45">
        <v>73.201800000000006</v>
      </c>
    </row>
    <row r="46" spans="1:20" x14ac:dyDescent="0.25">
      <c r="B46" t="s">
        <v>144</v>
      </c>
      <c r="C46">
        <v>92.6</v>
      </c>
      <c r="F46" s="37" t="s">
        <v>143</v>
      </c>
      <c r="G46" s="37">
        <v>66</v>
      </c>
      <c r="H46">
        <v>55.6</v>
      </c>
      <c r="I46">
        <v>75.099999999999994</v>
      </c>
    </row>
    <row r="47" spans="1:20" x14ac:dyDescent="0.25">
      <c r="B47" t="s">
        <v>158</v>
      </c>
      <c r="C47">
        <v>72.099999999999994</v>
      </c>
    </row>
    <row r="48" spans="1:20" s="37" customFormat="1" x14ac:dyDescent="0.25"/>
    <row r="49" spans="1:7" x14ac:dyDescent="0.25">
      <c r="A49" s="42" t="s">
        <v>699</v>
      </c>
    </row>
    <row r="50" spans="1:7" x14ac:dyDescent="0.25">
      <c r="A50" s="2" t="s">
        <v>698</v>
      </c>
    </row>
    <row r="51" spans="1:7" x14ac:dyDescent="0.25">
      <c r="B51" t="s">
        <v>1247</v>
      </c>
    </row>
    <row r="52" spans="1:7" s="37" customFormat="1" x14ac:dyDescent="0.25">
      <c r="B52" s="37" t="s">
        <v>1248</v>
      </c>
    </row>
    <row r="53" spans="1:7" x14ac:dyDescent="0.25">
      <c r="B53" t="s">
        <v>1249</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43"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1294</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1314</v>
      </c>
    </row>
    <row r="128" spans="2:11" x14ac:dyDescent="0.25">
      <c r="F128" s="37">
        <v>1940</v>
      </c>
      <c r="G128" s="37">
        <v>7.4809999999999999</v>
      </c>
      <c r="K128" t="s">
        <v>1315</v>
      </c>
    </row>
    <row r="129" spans="6:11" x14ac:dyDescent="0.25">
      <c r="F129" s="37">
        <v>1945</v>
      </c>
      <c r="G129" s="37">
        <v>7.4809999999999999</v>
      </c>
      <c r="K129" t="s">
        <v>1315</v>
      </c>
    </row>
    <row r="130" spans="6:11" x14ac:dyDescent="0.25">
      <c r="F130" s="37">
        <v>1950</v>
      </c>
      <c r="G130" s="37">
        <v>7.4809999999999999</v>
      </c>
      <c r="H130" s="37">
        <v>7.4809999999999999</v>
      </c>
      <c r="K130" t="s">
        <v>1316</v>
      </c>
    </row>
    <row r="131" spans="6:11" x14ac:dyDescent="0.25">
      <c r="F131" s="37">
        <v>1955</v>
      </c>
      <c r="G131" s="37">
        <v>7.4809999999999999</v>
      </c>
      <c r="H131" s="37">
        <v>7.7850000000000001</v>
      </c>
      <c r="K131" t="s">
        <v>1317</v>
      </c>
    </row>
    <row r="132" spans="6:11" x14ac:dyDescent="0.25">
      <c r="F132" s="37">
        <v>1960</v>
      </c>
      <c r="G132" s="37">
        <v>7.4809999999999999</v>
      </c>
      <c r="H132" s="37">
        <v>8.0650000000000013</v>
      </c>
      <c r="K132" t="s">
        <v>1318</v>
      </c>
    </row>
    <row r="133" spans="6:11" x14ac:dyDescent="0.25">
      <c r="F133" s="37">
        <v>1965</v>
      </c>
      <c r="G133" s="37">
        <v>7.1069500000000003</v>
      </c>
      <c r="H133" s="37">
        <v>8.1100000000000012</v>
      </c>
      <c r="K133" t="s">
        <v>1319</v>
      </c>
    </row>
    <row r="134" spans="6:11" x14ac:dyDescent="0.25">
      <c r="F134" s="37">
        <v>1970</v>
      </c>
      <c r="G134" s="37">
        <v>6.7328999999999999</v>
      </c>
      <c r="H134" s="37">
        <v>7.99</v>
      </c>
      <c r="K134" t="s">
        <v>1320</v>
      </c>
    </row>
    <row r="135" spans="6:11" x14ac:dyDescent="0.25">
      <c r="F135" s="37">
        <v>1975</v>
      </c>
      <c r="G135" s="37">
        <v>6.3588500000000003</v>
      </c>
      <c r="H135" s="37">
        <v>7.64</v>
      </c>
      <c r="K135" t="s">
        <v>1321</v>
      </c>
    </row>
    <row r="136" spans="6:11" x14ac:dyDescent="0.25">
      <c r="F136" s="37">
        <v>1980</v>
      </c>
      <c r="G136" s="37">
        <v>5.9791002774989996</v>
      </c>
      <c r="H136" s="37">
        <v>7.2160000000000002</v>
      </c>
      <c r="K136" t="s">
        <v>1322</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1308</v>
      </c>
      <c r="D71" t="s">
        <v>1309</v>
      </c>
      <c r="E71" t="s">
        <v>1312</v>
      </c>
      <c r="F71" t="s">
        <v>246</v>
      </c>
      <c r="G71" t="s">
        <v>1310</v>
      </c>
      <c r="H71" t="s">
        <v>1311</v>
      </c>
      <c r="I71" s="37" t="s">
        <v>1313</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abSelected="1" topLeftCell="A25" workbookViewId="0">
      <selection activeCell="H153" sqref="H153"/>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1344</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1345</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34" workbookViewId="0">
      <selection activeCell="A53" sqref="A53"/>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topLeftCell="A136" workbookViewId="0">
      <selection activeCell="R159" sqref="R159"/>
    </sheetView>
  </sheetViews>
  <sheetFormatPr defaultRowHeight="15" x14ac:dyDescent="0.25"/>
  <cols>
    <col min="3" max="3" width="9.140625" style="89"/>
    <col min="5" max="5" width="12.5703125" bestFit="1" customWidth="1"/>
    <col min="7" max="7" width="9.5703125" bestFit="1" customWidth="1"/>
    <col min="9" max="9" width="12" bestFit="1" customWidth="1"/>
    <col min="16" max="16" width="15.28515625" bestFit="1" customWidth="1"/>
    <col min="17" max="17" width="10"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1350</v>
      </c>
      <c r="G45" t="s">
        <v>1349</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15" x14ac:dyDescent="0.25">
      <c r="A82" s="2" t="s">
        <v>1154</v>
      </c>
    </row>
    <row r="83" spans="1:15" x14ac:dyDescent="0.25">
      <c r="D83" t="s">
        <v>983</v>
      </c>
    </row>
    <row r="84" spans="1:15" x14ac:dyDescent="0.25">
      <c r="B84" t="s">
        <v>1155</v>
      </c>
      <c r="D84">
        <v>34.5</v>
      </c>
      <c r="E84" t="s">
        <v>1161</v>
      </c>
    </row>
    <row r="86" spans="1:15" x14ac:dyDescent="0.25">
      <c r="A86" s="2" t="s">
        <v>1223</v>
      </c>
    </row>
    <row r="87" spans="1:15" x14ac:dyDescent="0.25">
      <c r="D87" t="s">
        <v>1163</v>
      </c>
    </row>
    <row r="88" spans="1:15" x14ac:dyDescent="0.25">
      <c r="B88" t="s">
        <v>153</v>
      </c>
      <c r="D88">
        <v>40.03</v>
      </c>
    </row>
    <row r="89" spans="1:15" x14ac:dyDescent="0.25">
      <c r="B89" t="s">
        <v>1155</v>
      </c>
      <c r="D89">
        <v>42.7</v>
      </c>
    </row>
    <row r="90" spans="1:15" s="89" customFormat="1" x14ac:dyDescent="0.25"/>
    <row r="91" spans="1:15" s="89" customFormat="1" x14ac:dyDescent="0.25">
      <c r="B91" s="89" t="s">
        <v>1348</v>
      </c>
      <c r="J91" s="89" t="s">
        <v>1352</v>
      </c>
    </row>
    <row r="92" spans="1:15" s="89" customFormat="1" x14ac:dyDescent="0.25">
      <c r="B92" s="89" t="s">
        <v>246</v>
      </c>
      <c r="C92" s="89" t="s">
        <v>1436</v>
      </c>
      <c r="D92" s="89" t="s">
        <v>1351</v>
      </c>
      <c r="E92" s="89" t="s">
        <v>106</v>
      </c>
      <c r="F92" s="89" t="s">
        <v>1370</v>
      </c>
      <c r="G92" s="89" t="s">
        <v>1407</v>
      </c>
      <c r="H92" s="89" t="s">
        <v>1408</v>
      </c>
      <c r="J92" s="89" t="s">
        <v>1437</v>
      </c>
      <c r="K92" s="89" t="s">
        <v>1351</v>
      </c>
      <c r="L92" s="93" t="s">
        <v>106</v>
      </c>
      <c r="M92" s="93" t="s">
        <v>1370</v>
      </c>
      <c r="N92" s="93" t="s">
        <v>1407</v>
      </c>
      <c r="O92" s="93" t="s">
        <v>1408</v>
      </c>
    </row>
    <row r="93" spans="1:15" s="89" customFormat="1" x14ac:dyDescent="0.25">
      <c r="B93" s="89" t="s">
        <v>137</v>
      </c>
      <c r="C93" s="89">
        <v>0.71663276482550398</v>
      </c>
      <c r="D93" s="89">
        <v>21</v>
      </c>
      <c r="E93" s="16">
        <f>(D93*100000)/C93</f>
        <v>2930371.1790394317</v>
      </c>
      <c r="F93" s="89">
        <f>(SQRT(D93)/E93)*100000</f>
        <v>0.15638209001420758</v>
      </c>
      <c r="G93" s="93">
        <v>0.44360700348441157</v>
      </c>
      <c r="H93" s="93">
        <v>1.0954493726201695</v>
      </c>
      <c r="J93" s="94">
        <v>0.32</v>
      </c>
      <c r="K93" s="89">
        <v>16</v>
      </c>
      <c r="L93" s="16">
        <f>(K93*100000)/J93</f>
        <v>5000000</v>
      </c>
      <c r="M93" s="89">
        <f>(SQRT(K93)/L93)*100000</f>
        <v>0.08</v>
      </c>
      <c r="N93" s="93">
        <v>0.18290764907283047</v>
      </c>
      <c r="O93" s="93">
        <v>0.51965995195121906</v>
      </c>
    </row>
    <row r="94" spans="1:15" s="89" customFormat="1" x14ac:dyDescent="0.25">
      <c r="B94" s="89" t="s">
        <v>138</v>
      </c>
      <c r="C94" s="89">
        <v>0.84806759505553897</v>
      </c>
      <c r="D94" s="89">
        <v>22</v>
      </c>
      <c r="E94" s="16">
        <f t="shared" ref="E94:E105" si="0">(D94*100000)/C94</f>
        <v>2594132.8413284374</v>
      </c>
      <c r="F94" s="93">
        <f t="shared" ref="F94:F105" si="1">(SQRT(D94)/E94)*100000</f>
        <v>0.18080861878382065</v>
      </c>
      <c r="G94" s="93">
        <v>0.53147941421005063</v>
      </c>
      <c r="H94" s="93">
        <v>1.2839844521127191</v>
      </c>
      <c r="J94" s="94">
        <v>1.4</v>
      </c>
      <c r="K94" s="89">
        <v>18</v>
      </c>
      <c r="L94" s="16">
        <f t="shared" ref="L94:L105" si="2">(K94*100000)/J94</f>
        <v>1285714.2857142857</v>
      </c>
      <c r="M94" s="93">
        <f t="shared" ref="M94:M105" si="3">(SQRT(K94)/L94)*100000</f>
        <v>0.32998316455372212</v>
      </c>
      <c r="N94" s="93">
        <v>0.82972891174861019</v>
      </c>
      <c r="O94" s="93">
        <v>2.2126040680530807</v>
      </c>
    </row>
    <row r="95" spans="1:15" s="89" customFormat="1" x14ac:dyDescent="0.25">
      <c r="B95" s="89" t="s">
        <v>139</v>
      </c>
      <c r="C95" s="89">
        <v>7.9909247379126498</v>
      </c>
      <c r="D95" s="89">
        <v>159</v>
      </c>
      <c r="E95" s="16">
        <f t="shared" si="0"/>
        <v>1989757.1960054927</v>
      </c>
      <c r="F95" s="93">
        <f t="shared" si="1"/>
        <v>0.63372155347559722</v>
      </c>
      <c r="G95" s="93">
        <v>6.7971183633307497</v>
      </c>
      <c r="H95" s="93">
        <v>9.3340518436196707</v>
      </c>
      <c r="J95" s="94">
        <v>2.71</v>
      </c>
      <c r="K95" s="89">
        <v>128</v>
      </c>
      <c r="L95" s="16">
        <f t="shared" si="2"/>
        <v>4723247.2324723247</v>
      </c>
      <c r="M95" s="93">
        <f t="shared" si="3"/>
        <v>0.23953242212694301</v>
      </c>
      <c r="N95" s="93">
        <v>2.2608881939268479</v>
      </c>
      <c r="O95" s="93">
        <v>3.2221990172623629</v>
      </c>
    </row>
    <row r="96" spans="1:15" s="89" customFormat="1" x14ac:dyDescent="0.25">
      <c r="B96" s="89" t="s">
        <v>140</v>
      </c>
      <c r="C96" s="89">
        <v>20.976373024565699</v>
      </c>
      <c r="D96" s="89">
        <v>329</v>
      </c>
      <c r="E96" s="16">
        <f t="shared" si="0"/>
        <v>1568431.2994181782</v>
      </c>
      <c r="F96" s="93">
        <f t="shared" si="1"/>
        <v>1.1564648801605539</v>
      </c>
      <c r="G96" s="93">
        <v>18.770726526258045</v>
      </c>
      <c r="H96" s="93">
        <v>23.369979286868222</v>
      </c>
      <c r="J96" s="94">
        <v>7.49</v>
      </c>
      <c r="K96" s="89">
        <v>368</v>
      </c>
      <c r="L96" s="16">
        <f t="shared" si="2"/>
        <v>4913217.6234979974</v>
      </c>
      <c r="M96" s="93">
        <f t="shared" si="3"/>
        <v>0.39044324032187244</v>
      </c>
      <c r="N96" s="93">
        <v>6.7442010248171353</v>
      </c>
      <c r="O96" s="93">
        <v>8.2957381451216889</v>
      </c>
    </row>
    <row r="97" spans="1:15" s="89" customFormat="1" x14ac:dyDescent="0.25">
      <c r="B97" s="89" t="s">
        <v>141</v>
      </c>
      <c r="C97" s="89">
        <v>40.716632764825398</v>
      </c>
      <c r="D97" s="89">
        <v>469</v>
      </c>
      <c r="E97" s="16">
        <f t="shared" si="0"/>
        <v>1151863.4232572478</v>
      </c>
      <c r="F97" s="93">
        <f t="shared" si="1"/>
        <v>1.8801194126355332</v>
      </c>
      <c r="G97" s="93">
        <v>37.114584400894195</v>
      </c>
      <c r="H97" s="93">
        <v>44.573884737729813</v>
      </c>
      <c r="J97" s="94">
        <v>16.190000000000001</v>
      </c>
      <c r="K97" s="89">
        <v>584</v>
      </c>
      <c r="L97" s="16">
        <f t="shared" si="2"/>
        <v>3607164.9166151942</v>
      </c>
      <c r="M97" s="93">
        <f t="shared" si="3"/>
        <v>0.66994696682361699</v>
      </c>
      <c r="N97" s="93">
        <v>14.903379240662758</v>
      </c>
      <c r="O97" s="93">
        <v>17.557975130325211</v>
      </c>
    </row>
    <row r="98" spans="1:15" s="89" customFormat="1" x14ac:dyDescent="0.25">
      <c r="B98" s="89" t="s">
        <v>142</v>
      </c>
      <c r="C98" s="89">
        <v>62.664684712877403</v>
      </c>
      <c r="D98" s="89">
        <v>521</v>
      </c>
      <c r="E98" s="16">
        <f t="shared" si="0"/>
        <v>831409.27363979234</v>
      </c>
      <c r="F98" s="93">
        <f t="shared" si="1"/>
        <v>2.745389682881473</v>
      </c>
      <c r="G98" s="93">
        <v>57.398650150675891</v>
      </c>
      <c r="H98" s="93">
        <v>68.284012047224948</v>
      </c>
      <c r="J98" s="94">
        <v>29.45</v>
      </c>
      <c r="K98" s="89">
        <v>705</v>
      </c>
      <c r="L98" s="16">
        <f t="shared" si="2"/>
        <v>2393887.9456706285</v>
      </c>
      <c r="M98" s="93">
        <f t="shared" si="3"/>
        <v>1.1091511673603094</v>
      </c>
      <c r="N98" s="93">
        <v>27.315934932806837</v>
      </c>
      <c r="O98" s="93">
        <v>31.706501058008161</v>
      </c>
    </row>
    <row r="99" spans="1:15" s="89" customFormat="1" x14ac:dyDescent="0.25">
      <c r="B99" s="89" t="s">
        <v>143</v>
      </c>
      <c r="C99" s="89">
        <v>83.052730402127906</v>
      </c>
      <c r="D99" s="89">
        <v>555</v>
      </c>
      <c r="E99" s="16">
        <f t="shared" si="0"/>
        <v>668250.15542870131</v>
      </c>
      <c r="F99" s="93">
        <f t="shared" si="1"/>
        <v>3.5253920687330171</v>
      </c>
      <c r="G99" s="93">
        <v>76.285916487376397</v>
      </c>
      <c r="H99" s="93">
        <v>90.258886549994031</v>
      </c>
      <c r="J99" s="94">
        <v>45.54</v>
      </c>
      <c r="K99" s="89">
        <v>731</v>
      </c>
      <c r="L99" s="16">
        <f t="shared" si="2"/>
        <v>1605182.2573561703</v>
      </c>
      <c r="M99" s="93">
        <f t="shared" si="3"/>
        <v>1.684357744753739</v>
      </c>
      <c r="N99" s="93">
        <v>42.298122525009262</v>
      </c>
      <c r="O99" s="93">
        <v>48.964448167646417</v>
      </c>
    </row>
    <row r="100" spans="1:15" s="89" customFormat="1" x14ac:dyDescent="0.25">
      <c r="B100" s="89" t="s">
        <v>392</v>
      </c>
      <c r="C100" s="89">
        <v>103.442340791738</v>
      </c>
      <c r="D100" s="89">
        <v>598</v>
      </c>
      <c r="E100" s="16">
        <f t="shared" si="0"/>
        <v>578099.83361065108</v>
      </c>
      <c r="F100" s="93">
        <f t="shared" si="1"/>
        <v>4.2300718836990194</v>
      </c>
      <c r="G100" s="93">
        <v>95.316560093643389</v>
      </c>
      <c r="H100" s="93">
        <v>112.07561111329352</v>
      </c>
      <c r="J100" s="94">
        <v>64.45</v>
      </c>
      <c r="K100" s="89">
        <v>690</v>
      </c>
      <c r="L100" s="16">
        <f t="shared" si="2"/>
        <v>1070597.3622963538</v>
      </c>
      <c r="M100" s="93">
        <f t="shared" si="3"/>
        <v>2.4535695676276239</v>
      </c>
      <c r="N100" s="93">
        <v>59.730183880028875</v>
      </c>
      <c r="O100" s="93">
        <v>69.443670243887055</v>
      </c>
    </row>
    <row r="101" spans="1:15" s="89" customFormat="1" x14ac:dyDescent="0.25">
      <c r="B101" s="89" t="s">
        <v>535</v>
      </c>
      <c r="C101" s="89">
        <v>130.32389297449501</v>
      </c>
      <c r="D101" s="89">
        <v>640</v>
      </c>
      <c r="E101" s="16">
        <f t="shared" si="0"/>
        <v>491084.16376515932</v>
      </c>
      <c r="F101" s="93">
        <f t="shared" si="1"/>
        <v>5.1515041917427551</v>
      </c>
      <c r="G101" s="93">
        <v>120.42140227566533</v>
      </c>
      <c r="H101" s="93">
        <v>140.82368420349474</v>
      </c>
      <c r="J101" s="94">
        <v>80.97</v>
      </c>
      <c r="K101" s="89">
        <v>627</v>
      </c>
      <c r="L101" s="16">
        <f t="shared" si="2"/>
        <v>774360.87439792522</v>
      </c>
      <c r="M101" s="93">
        <f t="shared" si="3"/>
        <v>3.2336303239192841</v>
      </c>
      <c r="N101" s="93">
        <v>74.755375595128243</v>
      </c>
      <c r="O101" s="93">
        <v>87.563389850109132</v>
      </c>
    </row>
    <row r="102" spans="1:15" s="89" customFormat="1" x14ac:dyDescent="0.25">
      <c r="B102" s="89" t="s">
        <v>536</v>
      </c>
      <c r="C102" s="89">
        <v>150.45376310436501</v>
      </c>
      <c r="D102" s="89">
        <v>560</v>
      </c>
      <c r="E102" s="16">
        <f t="shared" si="0"/>
        <v>372207.37351151911</v>
      </c>
      <c r="F102" s="93">
        <f t="shared" si="1"/>
        <v>6.3578319013785203</v>
      </c>
      <c r="G102" s="93">
        <v>138.24916837990898</v>
      </c>
      <c r="H102" s="93">
        <v>163.44732376783242</v>
      </c>
      <c r="J102" s="94">
        <v>94.67</v>
      </c>
      <c r="K102" s="89">
        <v>534</v>
      </c>
      <c r="L102" s="16">
        <f t="shared" si="2"/>
        <v>564064.64561106998</v>
      </c>
      <c r="M102" s="93">
        <f t="shared" si="3"/>
        <v>4.096771566235736</v>
      </c>
      <c r="N102" s="93">
        <v>86.809632556552799</v>
      </c>
      <c r="O102" s="93">
        <v>103.05083493861761</v>
      </c>
    </row>
    <row r="103" spans="1:15" s="89" customFormat="1" x14ac:dyDescent="0.25">
      <c r="B103" s="89" t="s">
        <v>970</v>
      </c>
      <c r="C103" s="89">
        <v>156.29791894852099</v>
      </c>
      <c r="D103" s="89">
        <v>378</v>
      </c>
      <c r="E103" s="16">
        <f t="shared" si="0"/>
        <v>241845.83041345538</v>
      </c>
      <c r="F103" s="93">
        <f t="shared" si="1"/>
        <v>8.0390974952867698</v>
      </c>
      <c r="G103" s="93">
        <v>140.93669425901064</v>
      </c>
      <c r="H103" s="93">
        <v>172.87636400949353</v>
      </c>
      <c r="J103" s="94">
        <v>102.5</v>
      </c>
      <c r="K103" s="89">
        <v>393</v>
      </c>
      <c r="L103" s="16">
        <f t="shared" si="2"/>
        <v>383414.63414634147</v>
      </c>
      <c r="M103" s="93">
        <f t="shared" si="3"/>
        <v>5.1704410411295125</v>
      </c>
      <c r="N103" s="93">
        <v>92.61528038371182</v>
      </c>
      <c r="O103" s="93">
        <v>113.1521967850648</v>
      </c>
    </row>
    <row r="104" spans="1:15" s="89" customFormat="1" x14ac:dyDescent="0.25">
      <c r="B104" s="89" t="s">
        <v>971</v>
      </c>
      <c r="C104" s="89">
        <v>150.71350336410501</v>
      </c>
      <c r="D104" s="89">
        <v>253</v>
      </c>
      <c r="E104" s="16">
        <f t="shared" si="0"/>
        <v>167868.16997331922</v>
      </c>
      <c r="F104" s="93">
        <f t="shared" si="1"/>
        <v>9.4752767740989512</v>
      </c>
      <c r="G104" s="93">
        <v>132.71293536320724</v>
      </c>
      <c r="H104" s="93">
        <v>170.47489035462846</v>
      </c>
      <c r="J104" s="94">
        <v>105.54</v>
      </c>
      <c r="K104" s="89">
        <v>235</v>
      </c>
      <c r="L104" s="16">
        <f t="shared" si="2"/>
        <v>222664.39264733749</v>
      </c>
      <c r="M104" s="93">
        <f t="shared" si="3"/>
        <v>6.8846704830060297</v>
      </c>
      <c r="N104" s="93">
        <v>92.476732543766758</v>
      </c>
      <c r="O104" s="93">
        <v>119.93192332393932</v>
      </c>
    </row>
    <row r="105" spans="1:15" s="89" customFormat="1" x14ac:dyDescent="0.25">
      <c r="B105" s="89" t="s">
        <v>972</v>
      </c>
      <c r="C105" s="89">
        <v>133.18103583163801</v>
      </c>
      <c r="D105" s="89">
        <v>293</v>
      </c>
      <c r="E105" s="16">
        <f t="shared" si="0"/>
        <v>220001.29235396438</v>
      </c>
      <c r="F105" s="93">
        <f t="shared" si="1"/>
        <v>7.7805191894434076</v>
      </c>
      <c r="G105" s="93">
        <v>118.36663475839381</v>
      </c>
      <c r="H105" s="93">
        <v>149.33717600570793</v>
      </c>
      <c r="J105" s="94">
        <v>95.76</v>
      </c>
      <c r="K105" s="89">
        <v>241</v>
      </c>
      <c r="L105" s="16">
        <f t="shared" si="2"/>
        <v>251670.84377610692</v>
      </c>
      <c r="M105" s="93">
        <f t="shared" si="3"/>
        <v>6.1684438544143569</v>
      </c>
      <c r="N105" s="93">
        <v>84.050651235004921</v>
      </c>
      <c r="O105" s="93">
        <v>108.6441069071473</v>
      </c>
    </row>
    <row r="106" spans="1:15" s="89" customFormat="1" x14ac:dyDescent="0.25">
      <c r="D106" s="89">
        <f>SUM(D93:D105)/SUM(E93:E105) *100000</f>
        <v>34.754712631599574</v>
      </c>
      <c r="F106" s="49"/>
      <c r="K106" s="89">
        <f>SUM(K93:K105)/SUM(L93:L105)*100000</f>
        <v>19.667711209505065</v>
      </c>
      <c r="N106" s="37"/>
      <c r="O106" s="37"/>
    </row>
    <row r="107" spans="1:15" s="89" customFormat="1" x14ac:dyDescent="0.25">
      <c r="F107" s="49"/>
      <c r="N107"/>
      <c r="O107"/>
    </row>
    <row r="108" spans="1:15" x14ac:dyDescent="0.25">
      <c r="F108" s="49"/>
    </row>
    <row r="109" spans="1:15" x14ac:dyDescent="0.25">
      <c r="A109" s="2" t="s">
        <v>1167</v>
      </c>
    </row>
    <row r="110" spans="1:15" s="37" customFormat="1" x14ac:dyDescent="0.25">
      <c r="A110" s="2"/>
      <c r="B110" s="37" t="s">
        <v>1168</v>
      </c>
      <c r="C110" s="89"/>
    </row>
    <row r="111" spans="1:15" x14ac:dyDescent="0.25">
      <c r="B111" t="s">
        <v>196</v>
      </c>
      <c r="D111" t="s">
        <v>983</v>
      </c>
      <c r="E111" t="s">
        <v>575</v>
      </c>
      <c r="F111" t="s">
        <v>576</v>
      </c>
    </row>
    <row r="112" spans="1:15"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1:6" x14ac:dyDescent="0.25">
      <c r="B129" s="37">
        <v>2007</v>
      </c>
      <c r="D129" s="7">
        <v>25.866781</v>
      </c>
      <c r="E129" s="7">
        <v>19.765902835399999</v>
      </c>
      <c r="F129" s="7">
        <v>33.889520089399902</v>
      </c>
    </row>
    <row r="130" spans="1:6" x14ac:dyDescent="0.25">
      <c r="B130" s="37">
        <v>2008</v>
      </c>
      <c r="D130" s="7">
        <v>25.691514176199998</v>
      </c>
      <c r="E130" s="7">
        <v>19.735012033</v>
      </c>
      <c r="F130" s="7">
        <v>34.008916111700003</v>
      </c>
    </row>
    <row r="131" spans="1:6" x14ac:dyDescent="0.25">
      <c r="B131" s="37">
        <v>2009</v>
      </c>
      <c r="D131" s="7">
        <v>25.687978447999999</v>
      </c>
      <c r="E131" s="7">
        <v>19.868306862000001</v>
      </c>
      <c r="F131" s="7">
        <v>34.397729296400001</v>
      </c>
    </row>
    <row r="132" spans="1:6" x14ac:dyDescent="0.25">
      <c r="B132" s="37">
        <v>2010</v>
      </c>
      <c r="D132" s="7">
        <v>26.099900655700001</v>
      </c>
      <c r="E132" s="7">
        <v>20.2750490146</v>
      </c>
      <c r="F132" s="7">
        <v>35.243636504100003</v>
      </c>
    </row>
    <row r="133" spans="1:6" x14ac:dyDescent="0.25">
      <c r="B133" s="37">
        <v>2011</v>
      </c>
      <c r="D133" s="7">
        <v>25.540528392500001</v>
      </c>
      <c r="E133" s="7">
        <v>19.888811054799898</v>
      </c>
      <c r="F133" s="7">
        <v>34.796040185999999</v>
      </c>
    </row>
    <row r="134" spans="1:6" x14ac:dyDescent="0.25">
      <c r="B134" s="37">
        <v>2012</v>
      </c>
      <c r="D134" s="7">
        <v>24.9825020454</v>
      </c>
      <c r="E134" s="7">
        <v>19.615601563799999</v>
      </c>
      <c r="F134" s="7">
        <v>34.4442311281</v>
      </c>
    </row>
    <row r="135" spans="1:6" x14ac:dyDescent="0.25">
      <c r="B135" s="37">
        <v>2013</v>
      </c>
      <c r="D135" s="7">
        <v>24.3360357442</v>
      </c>
      <c r="E135" s="7">
        <v>19.4112045376</v>
      </c>
      <c r="F135" s="7">
        <v>33.847582881599998</v>
      </c>
    </row>
    <row r="136" spans="1:6" x14ac:dyDescent="0.25">
      <c r="B136" s="37">
        <v>2014</v>
      </c>
      <c r="D136" s="7">
        <v>23.757156975200001</v>
      </c>
      <c r="E136" s="7">
        <v>19.227403319</v>
      </c>
      <c r="F136" s="7">
        <v>33.274325525400002</v>
      </c>
    </row>
    <row r="137" spans="1:6" x14ac:dyDescent="0.25">
      <c r="B137" s="37">
        <v>2015</v>
      </c>
      <c r="D137" s="7">
        <v>23.399590103599898</v>
      </c>
      <c r="E137" s="7">
        <v>19.098798935400001</v>
      </c>
      <c r="F137" s="7">
        <v>32.8570936172</v>
      </c>
    </row>
    <row r="138" spans="1:6" x14ac:dyDescent="0.25">
      <c r="B138" s="37">
        <v>2016</v>
      </c>
      <c r="D138" s="7">
        <v>23.112929259200001</v>
      </c>
      <c r="E138" s="7">
        <v>18.868621451599999</v>
      </c>
      <c r="F138" s="7">
        <v>32.499574923200001</v>
      </c>
    </row>
    <row r="139" spans="1:6" x14ac:dyDescent="0.25">
      <c r="B139" s="37">
        <v>2017</v>
      </c>
      <c r="D139" s="7">
        <v>22.7223344244</v>
      </c>
      <c r="E139" s="7">
        <v>18.550079151999999</v>
      </c>
      <c r="F139" s="7">
        <v>31.902820736399999</v>
      </c>
    </row>
    <row r="141" spans="1:6" x14ac:dyDescent="0.25">
      <c r="A141" t="s">
        <v>1434</v>
      </c>
    </row>
    <row r="142" spans="1:6" x14ac:dyDescent="0.25">
      <c r="C142" s="89" t="s">
        <v>1438</v>
      </c>
    </row>
    <row r="143" spans="1:6" x14ac:dyDescent="0.25">
      <c r="B143" t="s">
        <v>1435</v>
      </c>
      <c r="C143" s="89">
        <v>0.2</v>
      </c>
    </row>
    <row r="144" spans="1:6" x14ac:dyDescent="0.25">
      <c r="B144" t="s">
        <v>138</v>
      </c>
      <c r="C144" s="89">
        <v>0.38</v>
      </c>
    </row>
    <row r="145" spans="2:3" x14ac:dyDescent="0.25">
      <c r="B145" t="s">
        <v>139</v>
      </c>
      <c r="C145" s="89">
        <v>3.5</v>
      </c>
    </row>
    <row r="146" spans="2:3" x14ac:dyDescent="0.25">
      <c r="B146" t="s">
        <v>140</v>
      </c>
      <c r="C146" s="89">
        <v>14.4</v>
      </c>
    </row>
    <row r="147" spans="2:3" x14ac:dyDescent="0.25">
      <c r="B147" s="93" t="s">
        <v>141</v>
      </c>
      <c r="C147" s="89">
        <v>29.1</v>
      </c>
    </row>
    <row r="148" spans="2:3" x14ac:dyDescent="0.25">
      <c r="B148" s="93" t="s">
        <v>142</v>
      </c>
      <c r="C148" s="89">
        <v>50.4</v>
      </c>
    </row>
    <row r="149" spans="2:3" x14ac:dyDescent="0.25">
      <c r="B149" s="93" t="s">
        <v>143</v>
      </c>
      <c r="C149" s="89">
        <v>72.900000000000006</v>
      </c>
    </row>
    <row r="150" spans="2:3" x14ac:dyDescent="0.25">
      <c r="B150" s="93" t="s">
        <v>392</v>
      </c>
      <c r="C150" s="89">
        <v>91.4</v>
      </c>
    </row>
    <row r="151" spans="2:3" x14ac:dyDescent="0.25">
      <c r="B151" s="93" t="s">
        <v>535</v>
      </c>
      <c r="C151" s="89">
        <v>109.7</v>
      </c>
    </row>
    <row r="152" spans="2:3" x14ac:dyDescent="0.25">
      <c r="B152" s="93" t="s">
        <v>536</v>
      </c>
      <c r="C152" s="89">
        <v>122.3</v>
      </c>
    </row>
    <row r="153" spans="2:3" x14ac:dyDescent="0.25">
      <c r="B153" s="93" t="s">
        <v>970</v>
      </c>
      <c r="C153" s="89">
        <v>124.7</v>
      </c>
    </row>
    <row r="154" spans="2:3" x14ac:dyDescent="0.25">
      <c r="B154" s="93" t="s">
        <v>971</v>
      </c>
      <c r="C154" s="89">
        <v>114.1</v>
      </c>
    </row>
    <row r="155" spans="2:3" x14ac:dyDescent="0.25">
      <c r="B155" s="93" t="s">
        <v>972</v>
      </c>
      <c r="C155" s="89">
        <v>80.67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HIV incidence</vt:lpstr>
      <vt:lpstr>MTCT</vt:lpstr>
      <vt:lpstr>ASR_pops</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2021-03-13T04:34:46Z</dcterms:modified>
</cp:coreProperties>
</file>