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Feb20\HHCoM\Config\"/>
    </mc:Choice>
  </mc:AlternateContent>
  <bookViews>
    <workbookView xWindow="0" yWindow="0" windowWidth="21600" windowHeight="9000" tabRatio="641" activeTab="4"/>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10" i="5" l="1"/>
  <c r="O170" i="10" l="1"/>
  <c r="N170" i="10"/>
  <c r="M170" i="10"/>
  <c r="L170" i="10"/>
  <c r="K170" i="10"/>
  <c r="J170" i="10"/>
  <c r="I170" i="10"/>
  <c r="O169" i="10"/>
  <c r="N169" i="10"/>
  <c r="M169" i="10"/>
  <c r="L169" i="10"/>
  <c r="K169" i="10"/>
  <c r="J169" i="10"/>
  <c r="I169" i="10"/>
  <c r="N173" i="10"/>
  <c r="L173" i="10"/>
  <c r="K173" i="10"/>
  <c r="J173" i="10"/>
  <c r="I173" i="10"/>
  <c r="O172" i="10"/>
  <c r="N172" i="10"/>
  <c r="M172" i="10"/>
  <c r="L172" i="10"/>
  <c r="K172" i="10"/>
  <c r="J172" i="10"/>
  <c r="I172" i="10"/>
  <c r="O171" i="10"/>
  <c r="N171" i="10"/>
  <c r="M171" i="10"/>
  <c r="L171" i="10"/>
  <c r="K171" i="10"/>
  <c r="J171" i="10"/>
  <c r="I171" i="10"/>
  <c r="O174" i="10"/>
  <c r="N174" i="10"/>
  <c r="M174" i="10"/>
  <c r="L174" i="10"/>
  <c r="K174" i="10"/>
  <c r="J174" i="10"/>
  <c r="I174" i="10"/>
  <c r="O173" i="10"/>
  <c r="M173" i="10"/>
  <c r="L100" i="4"/>
  <c r="N100" i="4"/>
  <c r="M100" i="4"/>
  <c r="O175" i="10"/>
  <c r="N175" i="10"/>
  <c r="M175" i="10"/>
  <c r="L175" i="10"/>
  <c r="K175" i="10"/>
  <c r="J175" i="10"/>
  <c r="I175" i="10"/>
  <c r="M119" i="7"/>
  <c r="R118" i="7" s="1"/>
  <c r="P94" i="7" s="1"/>
  <c r="M115" i="7"/>
  <c r="I114" i="7" s="1"/>
  <c r="N98" i="4"/>
  <c r="M98" i="4"/>
  <c r="N97" i="4"/>
  <c r="M97" i="4"/>
  <c r="N99" i="4"/>
  <c r="M99" i="4"/>
  <c r="I127" i="7"/>
  <c r="I122" i="7"/>
  <c r="H122" i="7"/>
  <c r="H127" i="7"/>
  <c r="G123" i="7"/>
  <c r="F123" i="7"/>
  <c r="E123" i="7"/>
  <c r="G122" i="7"/>
  <c r="F122" i="7"/>
  <c r="E122" i="7"/>
  <c r="D122" i="7"/>
  <c r="D119" i="7"/>
  <c r="D115" i="7"/>
  <c r="I118" i="7" l="1"/>
  <c r="N118" i="7"/>
  <c r="L94" i="7" s="1"/>
  <c r="R114" i="7"/>
  <c r="O94" i="7" s="1"/>
  <c r="N114" i="7"/>
  <c r="K94" i="7" s="1"/>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I42"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D107" i="5"/>
  <c r="W107" i="5"/>
  <c r="W106" i="5"/>
  <c r="H94" i="7"/>
  <c r="G94" i="7"/>
  <c r="E118" i="7"/>
  <c r="D94" i="7" s="1"/>
  <c r="E114" i="7"/>
  <c r="C94" i="7" s="1"/>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I104" i="5"/>
  <c r="H104" i="5"/>
  <c r="G104" i="5"/>
  <c r="F104" i="5"/>
  <c r="E104" i="5"/>
  <c r="H106" i="5" l="1"/>
  <c r="D121" i="5"/>
  <c r="I106" i="5"/>
  <c r="E106" i="5"/>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O72" i="7" l="1"/>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F191" i="4" l="1"/>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M42" i="12" s="1"/>
  <c r="F44" i="12" s="1"/>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C114" i="10" s="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E109" i="10" l="1"/>
  <c r="O99" i="10" s="1"/>
  <c r="J109" i="10"/>
  <c r="M92" i="10" s="1"/>
  <c r="N104" i="10"/>
  <c r="O97" i="10"/>
  <c r="N97" i="10"/>
  <c r="N96" i="10"/>
  <c r="E85" i="10"/>
  <c r="L71" i="10" s="1"/>
  <c r="O106" i="10"/>
  <c r="O98" i="10"/>
  <c r="L47" i="10"/>
  <c r="N103" i="10"/>
  <c r="N95" i="10"/>
  <c r="N94" i="10"/>
  <c r="O102" i="10"/>
  <c r="O94" i="10"/>
  <c r="N91" i="10"/>
  <c r="N101" i="10"/>
  <c r="O93" i="10"/>
  <c r="O91" i="10"/>
  <c r="N100" i="10"/>
  <c r="N92" i="10"/>
  <c r="O100" i="10"/>
  <c r="O92" i="10"/>
  <c r="O107"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8" i="10" l="1"/>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<sst xmlns="http://schemas.openxmlformats.org/spreadsheetml/2006/main" count="2943" uniqueCount="1250">
  <si>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</si>
  <si>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</si>
  <si>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</si>
  <si>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</si>
  <si>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</si>
  <si>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</si>
  <si>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</si>
  <si>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</si>
  <si>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</si>
  <si>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</si>
  <si>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</si>
  <si>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</si>
  <si>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</si>
  <si>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</si>
  <si>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</si>
  <si>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</si>
  <si>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</si>
  <si>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</si>
  <si>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</si>
  <si>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</si>
  <si>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</si>
  <si>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</si>
  <si>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</si>
  <si>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</si>
  <si>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</si>
  <si>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</si>
  <si>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</si>
  <si>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</si>
  <si>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</si>
  <si>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</si>
  <si>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</si>
  <si>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</si>
  <si>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</si>
  <si>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</si>
  <si>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</si>
  <si>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</si>
  <si>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</si>
  <si>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</si>
  <si>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</si>
  <si>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</si>
  <si>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</si>
  <si>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</si>
  <si>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</si>
  <si>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</si>
  <si>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</si>
  <si>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</si>
  <si>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</si>
  <si>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</si>
  <si>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</si>
  <si>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</si>
  <si>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</si>
  <si>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</si>
  <si>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</si>
  <si>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</si>
  <si>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</si>
  <si>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</si>
  <si>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</si>
  <si>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</si>
  <si>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</si>
  <si>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</si>
  <si>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</si>
  <si>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</si>
  <si>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</si>
  <si>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</si>
  <si>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</si>
  <si>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</si>
  <si>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</si>
  <si>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</si>
  <si>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</si>
  <si>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</si>
  <si>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</si>
  <si>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</si>
  <si>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</si>
  <si>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</si>
  <si>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</si>
  <si>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</si>
  <si>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</si>
  <si>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</si>
  <si>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</si>
  <si>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</si>
  <si>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</si>
  <si>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</si>
  <si>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</si>
  <si>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</si>
  <si>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</si>
  <si>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</si>
  <si>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</si>
  <si>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</si>
  <si>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</si>
  <si>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</si>
  <si>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</si>
  <si>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</si>
  <si>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</si>
  <si>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</si>
  <si>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</si>
  <si>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</si>
  <si>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</si>
  <si>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</si>
  <si>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</si>
  <si>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</si>
  <si>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</si>
  <si>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</si>
  <si>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</si>
  <si>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</si>
  <si>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</si>
  <si>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</si>
  <si>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</si>
  <si>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</si>
  <si>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</si>
  <si>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</si>
  <si>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</si>
  <si>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</si>
  <si>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</si>
  <si>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</si>
  <si>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</si>
  <si>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</si>
  <si>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</si>
  <si>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</si>
  <si>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</si>
  <si>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</si>
  <si>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</si>
  <si>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</si>
  <si>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</si>
  <si>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</si>
  <si>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</si>
  <si>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</si>
  <si>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</si>
  <si>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</si>
  <si>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</si>
  <si>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</si>
  <si>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</si>
  <si>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</si>
  <si>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</si>
  <si>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</si>
  <si>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</si>
  <si>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</si>
  <si>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</si>
  <si>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</si>
  <si>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</si>
  <si>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</si>
  <si>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</si>
  <si>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</si>
  <si>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</si>
  <si>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</si>
  <si>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</si>
  <si>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</si>
  <si>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</si>
  <si>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</si>
  <si>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</si>
  <si>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</si>
  <si>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</si>
  <si>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</si>
  <si>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</si>
  <si>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</si>
  <si>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</si>
  <si>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</si>
  <si>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</si>
  <si>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</si>
  <si>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</si>
  <si>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</si>
  <si>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</si>
  <si>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</si>
  <si>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</si>
  <si>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</si>
  <si>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</si>
  <si>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</si>
  <si>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</si>
  <si>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</si>
  <si>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</si>
  <si>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</si>
  <si>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</si>
  <si>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</si>
  <si>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</si>
  <si>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</si>
  <si>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</si>
  <si>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</si>
  <si>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</si>
  <si>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</si>
  <si>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</si>
  <si>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</si>
  <si>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</si>
  <si>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</si>
  <si>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</si>
  <si>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</si>
  <si>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</si>
  <si>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</si>
  <si>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</si>
  <si>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</si>
  <si>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</si>
  <si>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</si>
  <si>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</si>
  <si>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</si>
  <si>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</si>
  <si>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</si>
  <si>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</si>
  <si>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</si>
  <si>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</si>
  <si>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</si>
  <si>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</si>
  <si>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</si>
  <si>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</si>
  <si>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</si>
  <si>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</si>
  <si>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</si>
  <si>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</si>
  <si>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</si>
  <si>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</si>
  <si>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</si>
  <si>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</si>
  <si>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</si>
  <si>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</si>
  <si>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</si>
  <si>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</si>
  <si>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</si>
  <si>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</si>
  <si>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</si>
  <si>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</si>
  <si>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</si>
  <si>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</si>
  <si>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</si>
  <si>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</si>
  <si>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</si>
  <si>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</si>
  <si>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</si>
  <si>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</si>
  <si>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</si>
  <si>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</si>
  <si>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</si>
  <si>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</si>
  <si>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</si>
  <si>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</si>
  <si>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</si>
  <si>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</si>
  <si>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</si>
  <si>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</si>
  <si>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</si>
  <si>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</si>
  <si>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</si>
  <si>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</si>
  <si>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</si>
  <si>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</si>
  <si>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</si>
  <si>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</si>
  <si>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</si>
  <si>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</si>
  <si>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</si>
  <si>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</si>
  <si>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</si>
  <si>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</si>
  <si>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</si>
  <si>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</si>
  <si>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</si>
  <si>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</si>
  <si>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</si>
  <si>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</si>
  <si>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</si>
  <si>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</si>
  <si>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</si>
  <si>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</si>
  <si>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</si>
  <si>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</si>
  <si>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</si>
  <si>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</si>
  <si>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</si>
  <si>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</si>
  <si>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</si>
  <si>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</si>
  <si>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</si>
  <si>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</si>
  <si>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</si>
  <si>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</si>
  <si>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</si>
  <si>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</si>
  <si>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</si>
  <si>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</si>
  <si>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</si>
  <si>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</si>
  <si>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</si>
  <si>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</si>
  <si>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</si>
  <si>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</si>
  <si>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</si>
  <si>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</si>
  <si>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</si>
  <si>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</si>
  <si>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</si>
  <si>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</si>
  <si>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</si>
  <si>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</si>
  <si>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</si>
  <si>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</si>
  <si>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</si>
  <si>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</si>
  <si>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</si>
  <si>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</si>
  <si>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</si>
  <si>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</si>
  <si>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</si>
  <si>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</si>
  <si>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</si>
  <si>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</si>
  <si>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</si>
  <si>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</si>
  <si>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</si>
  <si>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</si>
  <si>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</si>
  <si>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</si>
  <si>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</si>
  <si>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</si>
  <si>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</si>
  <si>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</si>
  <si>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</si>
  <si>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</si>
  <si>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</si>
  <si>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</si>
  <si>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</si>
  <si>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</si>
  <si>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</si>
  <si>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</si>
  <si>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</si>
  <si>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</si>
  <si>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</si>
  <si>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</si>
  <si>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</si>
  <si>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</si>
  <si>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</si>
  <si>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</si>
  <si>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</si>
  <si>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</si>
  <si>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</si>
  <si>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</si>
  <si>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</si>
  <si>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</si>
  <si>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</si>
  <si>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</si>
  <si>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</si>
  <si>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</si>
  <si>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</si>
  <si>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</si>
  <si>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</si>
  <si>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</si>
  <si>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</si>
  <si>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</si>
  <si>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</si>
  <si>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</si>
  <si>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</si>
  <si>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</si>
  <si>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</si>
  <si>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</si>
  <si>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</si>
  <si>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</si>
  <si>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</si>
  <si>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</si>
  <si>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</si>
  <si>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</si>
  <si>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</si>
  <si>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</si>
  <si>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</si>
  <si>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</si>
  <si>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</si>
  <si>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</si>
  <si>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</si>
  <si>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</si>
  <si>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</si>
  <si>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</si>
  <si>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</si>
  <si>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</si>
  <si>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</si>
  <si>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</si>
  <si>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</si>
  <si>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</si>
  <si>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</si>
  <si>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</si>
  <si>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</si>
  <si>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</si>
  <si>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</si>
  <si>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</si>
  <si>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</si>
  <si>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</si>
  <si>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</si>
  <si>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</si>
  <si>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</si>
  <si>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</si>
  <si>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</si>
  <si>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</si>
  <si>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</si>
  <si>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</si>
  <si>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</si>
  <si>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</si>
  <si>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</si>
  <si>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</si>
  <si>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</si>
  <si>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</si>
  <si>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</si>
  <si>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</si>
  <si>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</si>
  <si>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</si>
  <si>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</si>
  <si>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</si>
  <si>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</si>
  <si>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</si>
  <si>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</si>
  <si>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</si>
  <si>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</si>
  <si>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</si>
  <si>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</si>
  <si>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</si>
  <si>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</si>
  <si>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</si>
  <si>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</si>
  <si>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</si>
  <si>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</si>
  <si>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</si>
  <si>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</si>
  <si>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</si>
  <si>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</si>
  <si>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</si>
  <si>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</si>
  <si>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</si>
  <si>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</si>
  <si>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</si>
  <si>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</si>
  <si>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</si>
  <si>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</si>
  <si>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</si>
  <si>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</si>
  <si>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</si>
  <si>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</si>
  <si>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</si>
  <si>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</si>
  <si>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</si>
  <si>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</si>
  <si>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</si>
  <si>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</si>
  <si>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</si>
  <si>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</si>
  <si>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</si>
  <si>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</si>
  <si>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</si>
  <si>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</si>
  <si>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</si>
  <si>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</si>
  <si>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</si>
  <si>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</si>
  <si>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</si>
  <si>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</si>
  <si>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</si>
  <si>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</si>
  <si>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</si>
  <si>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</si>
  <si>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</si>
  <si>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</si>
  <si>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</si>
  <si>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</si>
  <si>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</si>
  <si>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</si>
  <si>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</si>
  <si>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</si>
  <si>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</si>
  <si>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</si>
  <si>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</si>
  <si>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</si>
  <si>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</si>
  <si>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</si>
  <si>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</si>
  <si>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</si>
  <si>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</si>
  <si>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</si>
  <si>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</si>
  <si>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</si>
  <si>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</si>
  <si>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</si>
  <si>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</si>
  <si>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</si>
  <si>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</si>
  <si>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</si>
  <si>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</si>
  <si>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</si>
  <si>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</si>
  <si>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</si>
  <si>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</si>
  <si>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</si>
  <si>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</si>
  <si>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</si>
  <si>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</si>
  <si>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</si>
  <si>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</si>
  <si>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</si>
  <si>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</si>
  <si>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</si>
  <si>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</si>
  <si>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</si>
  <si>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</si>
  <si>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</si>
  <si>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</si>
  <si>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</si>
  <si>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</si>
  <si>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</si>
  <si>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</si>
  <si>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</si>
  <si>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</si>
  <si>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</si>
  <si>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</si>
  <si>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</si>
  <si>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</si>
  <si>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</si>
  <si>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</si>
  <si>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</si>
  <si>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</si>
  <si>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</si>
  <si>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</si>
  <si>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</si>
  <si>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</si>
  <si>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</si>
  <si>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</si>
  <si>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</si>
  <si>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</si>
  <si>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</si>
  <si>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</si>
  <si>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</si>
  <si>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</si>
  <si>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</si>
  <si>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</si>
  <si>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</si>
  <si>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</si>
  <si>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</si>
  <si>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</si>
  <si>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</si>
  <si>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</si>
  <si>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</si>
  <si>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</si>
  <si>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</si>
  <si>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</si>
  <si>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</si>
  <si>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</si>
  <si>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</si>
  <si>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</si>
  <si>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</si>
  <si>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</si>
  <si>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</si>
  <si>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</si>
  <si>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</si>
  <si>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</si>
  <si>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</si>
  <si>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</si>
  <si>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</si>
  <si>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</si>
  <si>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</si>
  <si>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</si>
  <si>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</si>
  <si>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</si>
  <si>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</si>
  <si>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</si>
  <si>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</si>
  <si>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</si>
  <si>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</si>
  <si>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</si>
  <si>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</si>
  <si>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</si>
  <si>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</si>
  <si>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</si>
  <si>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</si>
  <si>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</si>
  <si>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</si>
  <si>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</si>
  <si>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</si>
  <si>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</si>
  <si>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</si>
  <si>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</si>
  <si>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</si>
  <si>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</si>
  <si>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</si>
  <si>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</si>
  <si>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</si>
  <si>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</si>
  <si>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</si>
  <si>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</si>
  <si>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</si>
  <si>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</si>
  <si>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</si>
  <si>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</si>
  <si>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</si>
  <si>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</si>
  <si>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</si>
  <si>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</si>
  <si>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</si>
  <si>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</si>
  <si>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</si>
  <si>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</si>
  <si>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</si>
  <si>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</si>
  <si>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</si>
  <si>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</si>
  <si>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</si>
  <si>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</si>
  <si>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</si>
  <si>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</si>
  <si>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</si>
  <si>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</si>
  <si>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</si>
  <si>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</si>
  <si>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</si>
  <si>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</si>
  <si>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</si>
  <si>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</si>
  <si>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</si>
  <si>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</si>
  <si>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</si>
  <si>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</si>
  <si>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</si>
  <si>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</si>
  <si>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</si>
  <si>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</si>
  <si>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</si>
  <si>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</si>
  <si>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</si>
  <si>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</si>
  <si>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</si>
  <si>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</si>
  <si>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</si>
  <si>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</si>
  <si>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</si>
  <si>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</si>
  <si>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</si>
  <si>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</si>
  <si>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</si>
  <si>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</si>
  <si>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</si>
  <si>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</si>
  <si>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</si>
  <si>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</si>
  <si>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</si>
  <si>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</si>
  <si>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</si>
  <si>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</si>
  <si>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</si>
  <si>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</si>
  <si>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</si>
  <si>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</si>
  <si>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</si>
  <si>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</si>
  <si>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</si>
  <si>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</si>
  <si>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</si>
  <si>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</si>
  <si>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</si>
  <si>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</si>
  <si>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</si>
  <si>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</si>
  <si>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</si>
  <si>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</si>
  <si>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</si>
  <si>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</si>
  <si>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</si>
  <si>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</si>
  <si>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</si>
  <si>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</si>
  <si>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</si>
  <si>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</si>
  <si>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</si>
  <si>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</si>
  <si>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</si>
  <si>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</si>
  <si>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</si>
  <si>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</si>
  <si>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</si>
  <si>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</si>
  <si>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</si>
  <si>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</si>
  <si>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</si>
  <si>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</si>
  <si>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</si>
  <si>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</si>
  <si>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</si>
  <si>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</si>
  <si>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</si>
  <si>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</si>
  <si>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</si>
  <si>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</si>
  <si>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</si>
  <si>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</si>
  <si>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</si>
  <si>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</si>
  <si>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</si>
  <si>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</si>
  <si>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</si>
  <si>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</si>
  <si>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</si>
  <si>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</si>
  <si>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</si>
  <si>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</si>
  <si>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</si>
  <si>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</si>
  <si>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</si>
  <si>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</si>
  <si>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</si>
  <si>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</si>
  <si>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</si>
  <si>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</si>
  <si>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</si>
  <si>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Relative risk of HIV among circumcised men compared to uncircumcised men is 0.47 (0.28-0.78) </t>
  </si>
  <si>
    <t xml:space="preserve">RCT among 2784 18-24 year old men in Kisumu, with 24 months of follow up </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</si>
  <si>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</si>
  <si>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</si>
  <si>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</si>
  <si>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</si>
  <si>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</si>
  <si>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</si>
  <si>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</si>
  <si>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</si>
  <si>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</si>
  <si>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</si>
  <si>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</si>
  <si>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</si>
  <si>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</si>
  <si>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</si>
  <si>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</si>
  <si>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</si>
  <si>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</si>
  <si>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</si>
  <si>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</si>
  <si>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</si>
  <si>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</si>
  <si>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</si>
  <si>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</si>
  <si>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</si>
  <si>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</si>
  <si>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</si>
  <si>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</si>
  <si>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</si>
  <si>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</si>
  <si>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</si>
  <si>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</si>
  <si>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</si>
  <si>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</si>
  <si>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</si>
  <si>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</si>
  <si>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</si>
  <si>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</si>
  <si>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</si>
  <si>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</si>
  <si>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</si>
  <si>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</si>
  <si>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</si>
  <si>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</si>
  <si>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</si>
  <si>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</si>
  <si>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</si>
  <si>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</si>
  <si>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</si>
  <si>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</si>
  <si>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</si>
  <si>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</si>
  <si>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</si>
  <si>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</si>
  <si>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</si>
  <si>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</si>
  <si>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</si>
  <si>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</si>
  <si>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</si>
  <si>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</si>
  <si>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</si>
  <si>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</si>
  <si>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</si>
  <si>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</si>
  <si>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</si>
  <si>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</si>
  <si>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</si>
  <si>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</si>
  <si>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</si>
  <si>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</si>
  <si>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</si>
  <si>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</si>
  <si>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</si>
  <si>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</si>
  <si>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</si>
  <si>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</si>
  <si>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</si>
  <si>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</si>
  <si>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</si>
  <si>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</si>
  <si>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</si>
  <si>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</si>
  <si>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</si>
  <si>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</si>
  <si>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</si>
  <si>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</si>
  <si>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</si>
  <si>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</si>
  <si>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</si>
  <si>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</si>
  <si>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</si>
  <si>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</si>
  <si>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</si>
  <si>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</si>
  <si>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</si>
  <si>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</si>
  <si>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</si>
  <si>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</si>
  <si>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</si>
  <si>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</si>
  <si>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</si>
  <si>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</si>
  <si>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</si>
  <si>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</si>
  <si>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</si>
  <si>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</si>
  <si>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</si>
  <si>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</si>
  <si>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</si>
  <si>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</si>
  <si>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</si>
  <si>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</si>
  <si>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</si>
  <si>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</si>
  <si>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</si>
  <si>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</si>
  <si>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</si>
  <si>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</si>
  <si>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</si>
  <si>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</si>
  <si>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</si>
  <si>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</si>
  <si>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</si>
  <si>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</si>
  <si>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</si>
  <si>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</si>
  <si>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</si>
  <si>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</si>
  <si>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</si>
  <si>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</si>
  <si>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</si>
  <si>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</si>
  <si>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</si>
  <si>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</si>
  <si>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</si>
  <si>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</si>
  <si>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</si>
  <si>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</si>
  <si>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</si>
  <si>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</si>
  <si>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</si>
  <si>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</si>
  <si>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</si>
  <si>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</si>
  <si>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</si>
  <si>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</si>
  <si>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</si>
  <si>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</si>
  <si>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</si>
  <si>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</si>
  <si>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</si>
  <si>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</si>
  <si>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</si>
  <si>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</si>
  <si>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</si>
  <si>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</si>
  <si>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</si>
  <si>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</si>
  <si>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</si>
  <si>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</si>
  <si>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</si>
  <si>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</si>
  <si>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</si>
  <si>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</si>
  <si>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</si>
  <si>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</si>
  <si>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</si>
  <si>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</si>
  <si>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</si>
  <si>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</si>
  <si>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</si>
  <si>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</si>
  <si>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</si>
  <si>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</si>
  <si>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</si>
  <si>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</si>
  <si>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</si>
  <si>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</si>
  <si>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</si>
  <si>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</si>
  <si>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</si>
  <si>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</si>
  <si>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</si>
  <si>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</si>
  <si>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</si>
  <si>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</si>
  <si>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</si>
  <si>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</si>
  <si>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</si>
  <si>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</si>
  <si>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</si>
  <si>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</si>
  <si>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</si>
  <si>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</si>
  <si>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</si>
  <si>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</si>
  <si>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</si>
  <si>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</si>
  <si>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</si>
  <si>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</si>
  <si>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</si>
  <si>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</si>
  <si>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</si>
  <si>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</si>
  <si>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</si>
  <si>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</si>
  <si>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</si>
  <si>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</si>
  <si>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</si>
  <si>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</si>
  <si>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</si>
  <si>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</si>
  <si>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</si>
  <si>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</si>
  <si>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</si>
  <si>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</si>
  <si>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</si>
  <si>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</si>
  <si>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</si>
  <si>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</si>
  <si>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</si>
  <si>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</si>
  <si>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</si>
  <si>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</si>
  <si>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</si>
  <si>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</si>
  <si>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</si>
  <si>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</si>
  <si>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</si>
  <si>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</si>
  <si>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</si>
  <si>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</si>
  <si>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</si>
  <si>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</si>
  <si>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</si>
  <si>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</si>
  <si>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</si>
  <si>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</si>
  <si>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</si>
  <si>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</si>
  <si>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</si>
  <si>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</si>
  <si>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</si>
  <si>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</si>
  <si>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</si>
  <si>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</si>
  <si>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</si>
  <si>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</si>
  <si>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</si>
  <si>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</si>
  <si>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</si>
  <si>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</si>
  <si>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</si>
  <si>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</si>
  <si>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</si>
  <si>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</si>
  <si>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</si>
  <si>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</si>
  <si>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</si>
  <si>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</si>
  <si>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</si>
  <si>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</si>
  <si>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</si>
  <si>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</si>
  <si>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</si>
  <si>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</si>
  <si>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</si>
  <si>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</si>
  <si>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</si>
  <si>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</si>
  <si>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</si>
  <si>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</si>
  <si>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</si>
  <si>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</si>
  <si>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</si>
  <si>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</si>
  <si>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</si>
  <si>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</si>
  <si>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</si>
  <si>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</si>
  <si>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</si>
  <si>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</si>
  <si>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</si>
  <si>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</si>
  <si>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</si>
  <si>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</si>
  <si>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</si>
  <si>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</si>
  <si>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</si>
  <si>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</si>
  <si>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</si>
  <si>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</si>
  <si>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</si>
  <si>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</si>
  <si>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</si>
  <si>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</si>
  <si>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</si>
  <si>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</si>
  <si>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</si>
  <si>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</si>
  <si>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</si>
  <si>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</si>
  <si>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</si>
  <si>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</si>
  <si>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</si>
  <si>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</si>
  <si>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</si>
  <si>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</si>
  <si>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</si>
  <si>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</si>
  <si>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</si>
  <si>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</si>
  <si>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</si>
  <si>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</si>
  <si>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</si>
  <si>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</si>
  <si>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</si>
  <si>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</si>
  <si>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</si>
  <si>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</si>
  <si>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</si>
  <si>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</si>
  <si>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</si>
  <si>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</si>
  <si>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</si>
  <si>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</si>
  <si>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</si>
  <si>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</si>
  <si>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</si>
  <si>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</si>
  <si>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</si>
  <si>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</si>
  <si>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</si>
  <si>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</si>
  <si>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</si>
  <si>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</si>
  <si>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</si>
  <si>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</si>
  <si>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</si>
  <si>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</si>
  <si>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</si>
  <si>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</si>
  <si>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</si>
  <si>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</si>
  <si>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</si>
  <si>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</si>
  <si>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</si>
  <si>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</si>
  <si>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</si>
  <si>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</si>
  <si>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</si>
  <si>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</si>
  <si>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</si>
  <si>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</si>
  <si>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</si>
  <si>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</si>
  <si>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</si>
  <si>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</si>
  <si>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</si>
  <si>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</si>
  <si>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</si>
  <si>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</si>
  <si>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</si>
  <si>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</si>
  <si>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</si>
  <si>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</si>
  <si>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</si>
  <si>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</si>
  <si>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</si>
  <si>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</si>
  <si>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</si>
  <si>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</si>
  <si>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</si>
  <si>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</si>
  <si>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</si>
  <si>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</si>
  <si>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</si>
  <si>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</si>
  <si>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</si>
  <si>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</si>
  <si>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</si>
  <si>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</si>
  <si>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</si>
  <si>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</si>
  <si>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</si>
  <si>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</si>
  <si>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</si>
  <si>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</si>
  <si>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</si>
  <si>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</si>
  <si>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</si>
  <si>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</si>
  <si>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</si>
  <si>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</si>
  <si>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</si>
  <si>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</si>
  <si>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</si>
  <si>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</si>
  <si>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</si>
  <si>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</si>
  <si>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</si>
  <si>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</si>
  <si>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</si>
  <si>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</si>
  <si>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</si>
  <si>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</si>
  <si>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</si>
  <si>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</si>
  <si>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</si>
  <si>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</si>
  <si>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</si>
  <si>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</si>
  <si>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</si>
  <si>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</si>
  <si>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</si>
  <si>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</si>
  <si>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</si>
  <si>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</si>
  <si>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</si>
  <si>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</si>
  <si>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</si>
  <si>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</si>
  <si>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</si>
  <si>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</si>
  <si>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</si>
  <si>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</si>
  <si>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</si>
  <si>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</si>
  <si>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</si>
  <si>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</si>
  <si>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</si>
  <si>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</si>
  <si>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</si>
  <si>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</si>
  <si>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</si>
  <si>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</si>
  <si>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</si>
  <si>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</si>
  <si>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</si>
  <si>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</si>
  <si>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</si>
  <si>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</si>
  <si>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</si>
  <si>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</si>
  <si>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</si>
  <si>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</si>
  <si>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</si>
  <si>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</si>
  <si>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</si>
  <si>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</si>
  <si>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</si>
  <si>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</si>
  <si>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</si>
  <si>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</si>
  <si>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</si>
  <si>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</si>
  <si>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</si>
  <si>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</si>
  <si>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</si>
  <si>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</si>
  <si>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</si>
  <si>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</si>
  <si>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</si>
  <si>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</si>
  <si>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</si>
  <si>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</si>
  <si>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</si>
  <si>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</si>
  <si>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</si>
  <si>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</si>
  <si>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</si>
  <si>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</si>
  <si>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</si>
  <si>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</si>
  <si>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</si>
  <si>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</si>
  <si>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</si>
  <si>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</si>
  <si>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</si>
  <si>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</si>
  <si>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</si>
  <si>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</si>
  <si>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</si>
  <si>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</si>
  <si>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</si>
  <si>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</si>
  <si>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</si>
  <si>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</si>
  <si>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</si>
  <si>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</si>
  <si>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</si>
  <si>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</si>
  <si>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</si>
  <si>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</si>
  <si>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</si>
  <si>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</si>
  <si>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</si>
  <si>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</si>
  <si>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</si>
  <si>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</si>
  <si>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</si>
  <si>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</si>
  <si>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</si>
  <si>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</si>
  <si>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</si>
  <si>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</si>
  <si>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</si>
  <si>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</si>
  <si>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</si>
  <si>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</si>
  <si>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</si>
  <si>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</si>
  <si>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</si>
  <si>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</si>
  <si>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</si>
  <si>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</si>
  <si>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</si>
  <si>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</si>
  <si>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</si>
  <si>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</si>
  <si>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</si>
  <si>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</si>
  <si>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</si>
  <si>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</si>
  <si>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</si>
  <si>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</si>
  <si>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</si>
  <si>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</si>
  <si>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</si>
  <si>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</si>
  <si>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</si>
  <si>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</si>
  <si>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</si>
  <si>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</si>
  <si>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</si>
  <si>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</si>
  <si>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</si>
  <si>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</si>
  <si>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</si>
  <si>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</si>
  <si>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</si>
  <si>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</si>
  <si>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</si>
  <si>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Popuation validataion</t>
  </si>
  <si>
    <t xml:space="preserve">new risk distribution for 10-19 age groups </t>
  </si>
  <si>
    <t>Med</t>
  </si>
  <si>
    <t>0-9</t>
  </si>
  <si>
    <t>10-19</t>
  </si>
  <si>
    <t>60-79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</si>
</sst>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4">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cellStyleXfs>
  <cellXfs count="82">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0" borderId="0" xfId="0" applyAlignment="1">
      <alignment horizontal="center"/>
    </xf>
  </cellXfs>
  <cellStyles count="5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B07AD8"/>
      <color rgb="FFFF938B"/>
      <color rgb="FFC59EE2"/>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Fertility!$C$94:$U$94</c:f>
              <c:numCache>
                <c:formatCode>##0.0;\-##0.0;0</c:formatCode>
                <c:ptCount val="19"/>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pt idx="15">
                  <c:v>65.022000000000006</c:v>
                </c:pt>
                <c:pt idx="16">
                  <c:v>60.552999999999997</c:v>
                </c:pt>
                <c:pt idx="17">
                  <c:v>56.177</c:v>
                </c:pt>
                <c:pt idx="18">
                  <c:v>52.183</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Fertility!$C$95:$U$95</c:f>
              <c:numCache>
                <c:formatCode>##0.0;\-##0.0;0</c:formatCode>
                <c:ptCount val="19"/>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pt idx="15">
                  <c:v>154.726</c:v>
                </c:pt>
                <c:pt idx="16">
                  <c:v>145.71299999999999</c:v>
                </c:pt>
                <c:pt idx="17">
                  <c:v>137.16499999999999</c:v>
                </c:pt>
                <c:pt idx="18">
                  <c:v>129.738</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Fertility!$C$96:$U$96</c:f>
              <c:numCache>
                <c:formatCode>##0.0;\-##0.0;0</c:formatCode>
                <c:ptCount val="19"/>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pt idx="15">
                  <c:v>164.82400000000001</c:v>
                </c:pt>
                <c:pt idx="16">
                  <c:v>159.05699999999999</c:v>
                </c:pt>
                <c:pt idx="17">
                  <c:v>153.62100000000001</c:v>
                </c:pt>
                <c:pt idx="18">
                  <c:v>149.28700000000001</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Fertility!$C$97:$U$97</c:f>
              <c:numCache>
                <c:formatCode>##0.0;\-##0.0;0</c:formatCode>
                <c:ptCount val="19"/>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pt idx="15">
                  <c:v>112.6</c:v>
                </c:pt>
                <c:pt idx="16">
                  <c:v>106.702</c:v>
                </c:pt>
                <c:pt idx="17">
                  <c:v>101.782</c:v>
                </c:pt>
                <c:pt idx="18">
                  <c:v>98.244</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chemeClr val="accent5"/>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Fertility!$C$98:$U$98</c:f>
              <c:numCache>
                <c:formatCode>##0.0;\-##0.0;0</c:formatCode>
                <c:ptCount val="19"/>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pt idx="15">
                  <c:v>68.501999999999995</c:v>
                </c:pt>
                <c:pt idx="16">
                  <c:v>62.488</c:v>
                </c:pt>
                <c:pt idx="17">
                  <c:v>57.558999999999997</c:v>
                </c:pt>
                <c:pt idx="18">
                  <c:v>53.819000000000003</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Fertility!$C$99:$U$99</c:f>
              <c:numCache>
                <c:formatCode>##0.0;\-##0.0;0</c:formatCode>
                <c:ptCount val="19"/>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pt idx="15">
                  <c:v>25.962</c:v>
                </c:pt>
                <c:pt idx="16">
                  <c:v>22.911000000000001</c:v>
                </c:pt>
                <c:pt idx="17">
                  <c:v>20.411999999999999</c:v>
                </c:pt>
                <c:pt idx="18">
                  <c:v>18.466000000000001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Fertility!$C$100:$U$100</c:f>
              <c:numCache>
                <c:formatCode>##0.0;\-##0.0;0</c:formatCode>
                <c:ptCount val="19"/>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pt idx="15">
                  <c:v>15.544</c:v>
                </c:pt>
                <c:pt idx="16">
                  <c:v>13.076000000000001</c:v>
                </c:pt>
                <c:pt idx="17">
                  <c:v>11.023999999999999</c:v>
                </c:pt>
                <c:pt idx="18">
                  <c:v>9.3629999999999995</c:v>
                </c:pt>
              </c:numCache>
            </c:numRef>
          </c:val>
          <c:smooth val="0"/>
          <c:extLst>
            <c:ext xmlns:c16="http://schemas.microsoft.com/office/drawing/2014/chart" uri="{C3380CC4-5D6E-409C-BE32-E72D297353CC}">
              <c16:uniqueId val="{00000006-0FF6-45FF-BD85-1476F7F79997}"/>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exp"/>
            <c:dispRSqr val="0"/>
            <c:dispEq val="0"/>
          </c:trendline>
          <c:trendline>
            <c:spPr>
              <a:ln w="19050" cap="rnd">
                <a:solidFill>
                  <a:schemeClr val="accent2">
                    <a:lumMod val="60000"/>
                  </a:schemeClr>
                </a:solidFill>
                <a:prstDash val="sysDot"/>
              </a:ln>
              <a:effectLst/>
            </c:spPr>
            <c:trendlineType val="linear"/>
            <c:dispRSqr val="0"/>
            <c:dispEq val="1"/>
            <c:trendlineLbl>
              <c:layout>
                <c:manualLayout>
                  <c:x val="-2.4338253260737155E-2"/>
                  <c:y val="0.1003282045650573"/>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Fertility!$K$93:$N$93</c:f>
              <c:strCache>
                <c:ptCount val="4"/>
                <c:pt idx="0">
                  <c:v>1990-1995</c:v>
                </c:pt>
                <c:pt idx="1">
                  <c:v>1995-2000</c:v>
                </c:pt>
                <c:pt idx="2">
                  <c:v>2000-2005</c:v>
                </c:pt>
                <c:pt idx="3">
                  <c:v>2005-2010</c:v>
                </c:pt>
              </c:strCache>
            </c:strRef>
          </c:cat>
          <c:val>
            <c:numRef>
              <c:extLst>
                <c:ext xmlns:c15="http://schemas.microsoft.com/office/drawing/2012/chart" uri="{02D57815-91ED-43cb-92C2-25804820EDAC}">
                  <c15:fullRef>
                    <c15:sqref>Fertility!$C$101:$AF$101</c15:sqref>
                  </c15:fullRef>
                </c:ext>
              </c:extLst>
              <c:f>Fertility!$K$101:$N$101</c:f>
              <c:numCache>
                <c:formatCode>General</c:formatCode>
                <c:ptCount val="4"/>
                <c:pt idx="0">
                  <c:v>5.65</c:v>
                </c:pt>
                <c:pt idx="1">
                  <c:v>5.35</c:v>
                </c:pt>
                <c:pt idx="2">
                  <c:v>4.9999999999999991</c:v>
                </c:pt>
                <c:pt idx="3">
                  <c:v>4.6500000000000004</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6.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8.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5" Type="http://schemas.openxmlformats.org/officeDocument/2006/relationships/image" Target="../media/image25.png"/><Relationship Id="rId4" Type="http://schemas.openxmlformats.org/officeDocument/2006/relationships/image" Target="../media/image24.jpeg"/></Relationships>
</file>

<file path=xl/drawings/drawing1.xml><?xml version="1.0" encoding="utf-8"?>
<xdr:wsDr xmlns:xdr="http://schemas.openxmlformats.org/drawingml/2006/spreadsheetDrawing" xmlns:a="http://schemas.openxmlformats.org/drawingml/2006/main">
  <xdr:twoCellAnchor>
    <xdr:from>
      <xdr:col>20</xdr:col>
      <xdr:colOff>276225</xdr:colOff>
      <xdr:row>88</xdr:row>
      <xdr:rowOff>142875</xdr:rowOff>
    </xdr:from>
    <xdr:to>
      <xdr:col>29</xdr:col>
      <xdr:colOff>257175</xdr:colOff>
      <xdr:row>106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114300</xdr:colOff>
      <xdr:row>0</xdr:row>
      <xdr:rowOff>152401</xdr:rowOff>
    </xdr:from>
    <xdr:to>
      <xdr:col>34</xdr:col>
      <xdr:colOff>466726</xdr:colOff>
      <xdr:row>14</xdr:row>
      <xdr:rowOff>76201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9</xdr:col>
      <xdr:colOff>604837</xdr:colOff>
      <xdr:row>101</xdr:row>
      <xdr:rowOff>19049</xdr:rowOff>
    </xdr:from>
    <xdr:to>
      <xdr:col>20</xdr:col>
      <xdr:colOff>104775</xdr:colOff>
      <xdr:row>119</xdr:row>
      <xdr:rowOff>161924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100012</xdr:colOff>
      <xdr:row>130</xdr:row>
      <xdr:rowOff>114300</xdr:rowOff>
    </xdr:from>
    <xdr:to>
      <xdr:col>16</xdr:col>
      <xdr:colOff>404812</xdr:colOff>
      <xdr:row>145</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300037</xdr:colOff>
      <xdr:row>111</xdr:row>
      <xdr:rowOff>171450</xdr:rowOff>
    </xdr:from>
    <xdr:to>
      <xdr:col>25</xdr:col>
      <xdr:colOff>604837</xdr:colOff>
      <xdr:row>126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142875</xdr:colOff>
      <xdr:row>166</xdr:row>
      <xdr:rowOff>104775</xdr:rowOff>
    </xdr:from>
    <xdr:to>
      <xdr:col>20</xdr:col>
      <xdr:colOff>323850</xdr:colOff>
      <xdr:row>195</xdr:row>
      <xdr:rowOff>171450</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24525" y="31727775"/>
          <a:ext cx="7496175" cy="559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594032</xdr:colOff>
      <xdr:row>13</xdr:row>
      <xdr:rowOff>104775</xdr:rowOff>
    </xdr:from>
    <xdr:to>
      <xdr:col>16</xdr:col>
      <xdr:colOff>114300</xdr:colOff>
      <xdr:row>33</xdr:row>
      <xdr:rowOff>92036</xdr:rowOff>
    </xdr:to>
    <xdr:pic>
      <xdr:nvPicPr>
        <xdr:cNvPr id="2" name="Picture 1"/>
        <xdr:cNvPicPr>
          <a:picLocks noChangeAspect="1"/>
        </xdr:cNvPicPr>
      </xdr:nvPicPr>
      <xdr:blipFill>
        <a:blip xmlns:r="http://schemas.openxmlformats.org/officeDocument/2006/relationships" r:embed="rId1"/>
        <a:stretch>
          <a:fillRect/>
        </a:stretch>
      </xdr:blipFill>
      <xdr:spPr>
        <a:xfrm>
          <a:off x="4251632" y="2581275"/>
          <a:ext cx="5682943" cy="3835361"/>
        </a:xfrm>
        <a:prstGeom prst="rect">
          <a:avLst/>
        </a:prstGeom>
      </xdr:spPr>
    </xdr:pic>
    <xdr:clientData/>
  </xdr:twoCellAnchor>
  <xdr:twoCellAnchor editAs="oneCell">
    <xdr:from>
      <xdr:col>16</xdr:col>
      <xdr:colOff>219076</xdr:colOff>
      <xdr:row>13</xdr:row>
      <xdr:rowOff>152402</xdr:rowOff>
    </xdr:from>
    <xdr:to>
      <xdr:col>24</xdr:col>
      <xdr:colOff>438150</xdr:colOff>
      <xdr:row>33</xdr:row>
      <xdr:rowOff>84928</xdr:rowOff>
    </xdr:to>
    <xdr:pic>
      <xdr:nvPicPr>
        <xdr:cNvPr id="3" name="Picture 2"/>
        <xdr:cNvPicPr>
          <a:picLocks noChangeAspect="1"/>
        </xdr:cNvPicPr>
      </xdr:nvPicPr>
      <xdr:blipFill>
        <a:blip xmlns:r="http://schemas.openxmlformats.org/officeDocument/2006/relationships" r:embed="rId2"/>
        <a:stretch>
          <a:fillRect/>
        </a:stretch>
      </xdr:blipFill>
      <xdr:spPr>
        <a:xfrm>
          <a:off x="10039351" y="2628902"/>
          <a:ext cx="5095874" cy="3780626"/>
        </a:xfrm>
        <a:prstGeom prst="rect">
          <a:avLst/>
        </a:prstGeom>
      </xdr:spPr>
    </xdr:pic>
    <xdr:clientData/>
  </xdr:twoCellAnchor>
  <xdr:twoCellAnchor editAs="oneCell">
    <xdr:from>
      <xdr:col>8</xdr:col>
      <xdr:colOff>638174</xdr:colOff>
      <xdr:row>34</xdr:row>
      <xdr:rowOff>47625</xdr:rowOff>
    </xdr:from>
    <xdr:to>
      <xdr:col>16</xdr:col>
      <xdr:colOff>256148</xdr:colOff>
      <xdr:row>51</xdr:row>
      <xdr:rowOff>142899</xdr:rowOff>
    </xdr:to>
    <xdr:pic>
      <xdr:nvPicPr>
        <xdr:cNvPr id="4" name="Picture 3"/>
        <xdr:cNvPicPr>
          <a:picLocks noChangeAspect="1"/>
        </xdr:cNvPicPr>
      </xdr:nvPicPr>
      <xdr:blipFill>
        <a:blip xmlns:r="http://schemas.openxmlformats.org/officeDocument/2006/relationships" r:embed="rId3"/>
        <a:stretch>
          <a:fillRect/>
        </a:stretch>
      </xdr:blipFill>
      <xdr:spPr>
        <a:xfrm>
          <a:off x="5514974" y="6562725"/>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4"/>
  <sheetViews>
    <sheetView topLeftCell="A158" workbookViewId="0">
      <selection activeCell="G170" sqref="G170"/>
    </sheetView>
  </sheetViews>
  <sheetFormatPr defaultRowHeight="15" x14ac:dyDescent="0.25"/>
  <cols>
    <col min="3" max="3" width="10.140625" bestFit="1" customWidth="1"/>
    <col min="4" max="4" width="11.7109375" bestFit="1" customWidth="1"/>
    <col min="5" max="8" width="10.140625" bestFit="1" customWidth="1"/>
    <col min="9" max="9" width="12.85546875" bestFit="1" customWidth="1"/>
    <col min="10" max="10" width="12" customWidth="1"/>
    <col min="13" max="13" width="9.8554687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row>
    <row r="54" spans="1:18" x14ac:dyDescent="0.25">
      <c r="B54">
        <v>1979</v>
      </c>
      <c r="C54" s="4">
        <v>2643956</v>
      </c>
      <c r="D54" s="4">
        <v>15327061</v>
      </c>
      <c r="E54">
        <f>C54/D54</f>
        <v>0.17250247780706296</v>
      </c>
    </row>
    <row r="55" spans="1:18" x14ac:dyDescent="0.25">
      <c r="B55">
        <v>1989</v>
      </c>
      <c r="C55" s="4">
        <v>3507160</v>
      </c>
      <c r="D55" s="4">
        <v>21448774</v>
      </c>
    </row>
    <row r="56" spans="1:18" x14ac:dyDescent="0.25">
      <c r="B56">
        <v>1999</v>
      </c>
      <c r="C56" s="4">
        <v>4392196</v>
      </c>
      <c r="D56" s="4">
        <v>28686607</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694</v>
      </c>
      <c r="B113" t="s">
        <v>153</v>
      </c>
      <c r="C113" t="s">
        <v>144</v>
      </c>
      <c r="D113" t="s">
        <v>698</v>
      </c>
      <c r="E113" t="s">
        <v>695</v>
      </c>
      <c r="F113" t="s">
        <v>696</v>
      </c>
      <c r="G113" t="s">
        <v>697</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1074</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598</v>
      </c>
      <c r="D127" s="47" t="s">
        <v>605</v>
      </c>
      <c r="E127" s="47" t="s">
        <v>598</v>
      </c>
      <c r="F127" s="47" t="s">
        <v>605</v>
      </c>
      <c r="G127" s="47" t="s">
        <v>598</v>
      </c>
      <c r="H127" s="47" t="s">
        <v>605</v>
      </c>
      <c r="I127" s="47" t="s">
        <v>598</v>
      </c>
      <c r="J127" s="47" t="s">
        <v>605</v>
      </c>
      <c r="K127" s="47" t="s">
        <v>598</v>
      </c>
      <c r="L127" s="47" t="s">
        <v>605</v>
      </c>
      <c r="M127" s="47" t="s">
        <v>598</v>
      </c>
      <c r="N127" s="47" t="s">
        <v>605</v>
      </c>
      <c r="O127" s="47" t="s">
        <v>598</v>
      </c>
      <c r="P127" s="47" t="s">
        <v>605</v>
      </c>
      <c r="Q127" s="47" t="s">
        <v>598</v>
      </c>
      <c r="R127" s="47" t="s">
        <v>605</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536</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537</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973</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974</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975</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1075</v>
      </c>
      <c r="C147" s="47" t="s">
        <v>598</v>
      </c>
      <c r="D147" s="47" t="s">
        <v>605</v>
      </c>
      <c r="E147" s="47" t="s">
        <v>598</v>
      </c>
      <c r="F147" s="47" t="s">
        <v>605</v>
      </c>
      <c r="G147" s="47" t="s">
        <v>598</v>
      </c>
      <c r="H147" s="47" t="s">
        <v>605</v>
      </c>
      <c r="I147" s="47" t="s">
        <v>598</v>
      </c>
      <c r="J147" s="47" t="s">
        <v>605</v>
      </c>
      <c r="K147" s="47" t="s">
        <v>598</v>
      </c>
      <c r="L147" s="47" t="s">
        <v>605</v>
      </c>
      <c r="M147" s="47" t="s">
        <v>598</v>
      </c>
      <c r="N147" s="47" t="s">
        <v>605</v>
      </c>
      <c r="O147" s="47" t="s">
        <v>598</v>
      </c>
      <c r="P147" s="47" t="s">
        <v>605</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536</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537</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973</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974</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975</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1142</v>
      </c>
      <c r="B167" s="49"/>
      <c r="C167" s="49"/>
      <c r="D167" s="49"/>
      <c r="E167" s="49"/>
      <c r="F167" s="49"/>
      <c r="G167" s="77"/>
      <c r="H167" s="77" t="s">
        <v>1244</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1247</v>
      </c>
      <c r="J168" s="76" t="s">
        <v>1248</v>
      </c>
      <c r="K168" s="76" t="s">
        <v>1014</v>
      </c>
      <c r="L168" s="76" t="s">
        <v>156</v>
      </c>
      <c r="M168" s="76" t="s">
        <v>157</v>
      </c>
      <c r="N168" s="76" t="s">
        <v>1155</v>
      </c>
      <c r="O168" s="49" t="s">
        <v>1249</v>
      </c>
      <c r="P168" s="37"/>
      <c r="Q168" s="16"/>
      <c r="R168" s="37"/>
    </row>
    <row r="169" spans="1:18" x14ac:dyDescent="0.25">
      <c r="B169">
        <v>237.96555161467322</v>
      </c>
      <c r="C169" s="50">
        <v>240.16582243333008</v>
      </c>
      <c r="H169">
        <v>1990</v>
      </c>
      <c r="I169">
        <f>SUM(C$148:D$149)/SUM($C$148:$D$163)</f>
        <v>0.35549337624979127</v>
      </c>
      <c r="J169" s="37">
        <f>SUM(C$150:D$151)/SUM($C$148:$D$163)</f>
        <v>0.2487095769816785</v>
      </c>
      <c r="K169" s="37">
        <f>SUM(C$152:D$153)/SUM($C$148:$D$163)</f>
        <v>0.16036853215010419</v>
      </c>
      <c r="L169" s="37">
        <f>SUM(C$154:D$155)/SUM($C$148:$D$163)</f>
        <v>0.10367995328041812</v>
      </c>
      <c r="M169" s="37">
        <f>SUM(C$156:D$157)/SUM($C$148:$D$163)</f>
        <v>5.6436483847615897E-2</v>
      </c>
      <c r="N169" s="37">
        <f>SUM(C$158:D$159)/SUM($C$148:$D$163)</f>
        <v>3.896677223603634E-2</v>
      </c>
      <c r="O169" s="37">
        <f>SUM(C$160:D$163)/SUM($C$148:$D$163)</f>
        <v>3.6345305254355149E-2</v>
      </c>
      <c r="P169" s="50"/>
      <c r="Q169" s="50"/>
      <c r="R169" s="50"/>
    </row>
    <row r="170" spans="1:18" x14ac:dyDescent="0.25">
      <c r="B170">
        <v>143.5336735871974</v>
      </c>
      <c r="C170">
        <v>145.29123968058661</v>
      </c>
      <c r="D170" s="50"/>
      <c r="E170" s="50"/>
      <c r="F170" s="50"/>
      <c r="G170" s="50"/>
      <c r="H170">
        <v>1995</v>
      </c>
      <c r="I170">
        <f>SUM(E148:F149)/SUM($E$148:$F$163)</f>
        <v>0.329724598997091</v>
      </c>
      <c r="J170" s="37">
        <f>SUM(E150:F151)/SUM($E$148:$F$163)</f>
        <v>0.25572087374171532</v>
      </c>
      <c r="K170" s="37">
        <f>SUM(E152:F153)/SUM($E$148:$F$163)</f>
        <v>0.17060427628122893</v>
      </c>
      <c r="L170" s="37">
        <f>SUM(E154:F155)/SUM($E$148:$F$163)</f>
        <v>0.10858198757068795</v>
      </c>
      <c r="M170" s="37">
        <f>SUM(E156:F157)/SUM($E$148:$F$163)</f>
        <v>6.5205652654415941E-2</v>
      </c>
      <c r="N170" s="37">
        <f>SUM(E158:F159)/SUM($E$148:$F$163)</f>
        <v>3.4783877060073805E-2</v>
      </c>
      <c r="O170" s="37">
        <f>SUM(E160:F163)/SUM($E$148:$F$163)</f>
        <v>3.5378733694786835E-2</v>
      </c>
      <c r="P170" s="50"/>
      <c r="Q170" s="50"/>
      <c r="R170" s="50"/>
    </row>
    <row r="171" spans="1:18" x14ac:dyDescent="0.25">
      <c r="B171">
        <v>110.24191683969217</v>
      </c>
      <c r="C171">
        <v>110.9988196360878</v>
      </c>
      <c r="H171">
        <v>2000</v>
      </c>
      <c r="I171">
        <f>SUM(G148:H149)/SUM($G$148:$H$163)</f>
        <v>0.31791370276114633</v>
      </c>
      <c r="J171" s="37">
        <f>SUM(G150:H151)/SUM($G$148:$H$163)</f>
        <v>0.2550967008423784</v>
      </c>
      <c r="K171" s="37">
        <f>SUM(G152:H153)/SUM($G$148:$H$163)</f>
        <v>0.17860301741785722</v>
      </c>
      <c r="L171" s="37">
        <f>SUM(G154:H155)/SUM($G$148:$H$163)</f>
        <v>0.11147734029810565</v>
      </c>
      <c r="M171" s="37">
        <f>SUM(G156:H157)/SUM($G$148:$H$163)</f>
        <v>6.8597356533520656E-2</v>
      </c>
      <c r="N171" s="37">
        <f>SUM(G158:H159)/SUM($G$148:$H$163)</f>
        <v>3.5690977363141703E-2</v>
      </c>
      <c r="O171" s="37">
        <f>SUM(G160:H163)/SUM($G$148:$H$163)</f>
        <v>3.2620904783850206E-2</v>
      </c>
      <c r="P171" s="50"/>
      <c r="Q171" s="50"/>
      <c r="R171" s="50"/>
    </row>
    <row r="172" spans="1:18" x14ac:dyDescent="0.25">
      <c r="B172">
        <v>99.096251769889548</v>
      </c>
      <c r="C172">
        <v>97.33925564881072</v>
      </c>
      <c r="H172">
        <v>2005</v>
      </c>
      <c r="I172">
        <f>SUM(I148:J149)/SUM($I$148:$J$163)</f>
        <v>0.31717005556362726</v>
      </c>
      <c r="J172" s="37">
        <f>SUM(I150:J151)/SUM($I$148:$J$163)</f>
        <v>0.24080056277770526</v>
      </c>
      <c r="K172" s="37">
        <f>SUM(I152:J153)/SUM($I$148:$J$163)</f>
        <v>0.185498404943294</v>
      </c>
      <c r="L172" s="37">
        <f>SUM(I154:J155)/SUM($I$148:$J$163)</f>
        <v>0.11701056357393393</v>
      </c>
      <c r="M172" s="37">
        <f>SUM(I156:J157)/SUM($I$148:$J$163)</f>
        <v>6.9963874202437451E-2</v>
      </c>
      <c r="N172" s="37">
        <f>SUM(I158:J159)/SUM($I$148:$J$163)</f>
        <v>4.0111619767156471E-2</v>
      </c>
      <c r="O172" s="37">
        <f>SUM(I160:J163)/SUM($I$148:$J$163)</f>
        <v>2.9444919171845576E-2</v>
      </c>
      <c r="P172" s="50"/>
      <c r="Q172" s="50"/>
      <c r="R172" s="50"/>
    </row>
    <row r="173" spans="1:18" x14ac:dyDescent="0.25">
      <c r="B173">
        <v>91.12132295655455</v>
      </c>
      <c r="C173">
        <v>86.235432425086415</v>
      </c>
      <c r="H173">
        <v>2010</v>
      </c>
      <c r="I173">
        <f>SUM(K148:L149)/SUM(K148:L163)</f>
        <v>0.30836194815624002</v>
      </c>
      <c r="J173" s="37">
        <f>SUM(K150:L151)/SUM(K148:L163)</f>
        <v>0.23369136293850706</v>
      </c>
      <c r="K173" s="37">
        <f>SUM(K152:L153)/SUM(K148:L163)</f>
        <v>0.18557385199250581</v>
      </c>
      <c r="L173" s="37">
        <f>SUM(K154:L155)/SUM(K148:L163)</f>
        <v>0.12474426428389926</v>
      </c>
      <c r="M173" s="37">
        <f>SUM(K156:L157)/SUM(K148:L163)</f>
        <v>7.4102333959600239E-2</v>
      </c>
      <c r="N173" s="37">
        <f>SUM(K158:L159)/SUM(K148:L163)</f>
        <v>4.3525843368171176E-2</v>
      </c>
      <c r="O173" s="37">
        <f>SUM(K160:L163)/SUM(K148:L163)</f>
        <v>3.0000395301076618E-2</v>
      </c>
      <c r="P173" s="50"/>
      <c r="Q173" s="50"/>
      <c r="R173" s="50"/>
    </row>
    <row r="174" spans="1:18" x14ac:dyDescent="0.25">
      <c r="B174">
        <v>84.684848684181148</v>
      </c>
      <c r="C174">
        <v>75.946598869604159</v>
      </c>
      <c r="H174" s="16">
        <v>2015</v>
      </c>
      <c r="I174">
        <f>SUM(M148:N149)/SUM($M$148:$N$163)</f>
        <v>0.28891821483642321</v>
      </c>
      <c r="J174" s="37">
        <f>SUM(M150:N151)/SUM($M$148:$N$163)</f>
        <v>0.23718746949260416</v>
      </c>
      <c r="K174" s="37">
        <f>SUM(M152:N153)/SUM($M$148:$N$163)</f>
        <v>0.17828937166347358</v>
      </c>
      <c r="L174" s="37">
        <f>SUM(M154:N155)/SUM($M$148:$N$163)</f>
        <v>0.13331999164158853</v>
      </c>
      <c r="M174" s="37">
        <f>SUM(M156:N157)/SUM($M$148:$N$163)</f>
        <v>8.1694197496718149E-2</v>
      </c>
      <c r="N174" s="37">
        <f>SUM(M158:N159)/SUM($M$148:$N$163)</f>
        <v>4.6954659763098365E-2</v>
      </c>
      <c r="O174" s="37">
        <f>SUM(M160:N163)/SUM($M$148:$N$163)</f>
        <v>3.3636095106093979E-2</v>
      </c>
    </row>
    <row r="175" spans="1:18" x14ac:dyDescent="0.25">
      <c r="B175">
        <v>80.169709605596097</v>
      </c>
      <c r="C175">
        <v>68.470328142000795</v>
      </c>
      <c r="H175">
        <v>2020</v>
      </c>
      <c r="I175">
        <f>SUM(O148:P149)/SUM($O$148:$P$163)</f>
        <v>0.26132180153505447</v>
      </c>
      <c r="J175" s="37">
        <f>SUM(O150:P151)/SUM($O$148:$P$163)</f>
        <v>0.23769507469573828</v>
      </c>
      <c r="K175" s="37">
        <f>SUM(O152:P153)/SUM($O$148:$P$163)</f>
        <v>0.17890745452917378</v>
      </c>
      <c r="L175" s="37">
        <f>SUM(O154:P155)/SUM($O$148:$P$163)</f>
        <v>0.13929816949373025</v>
      </c>
      <c r="M175" s="37">
        <f>SUM(O156:P157)/SUM($O$148:$P$163)</f>
        <v>9.1428627157405837E-2</v>
      </c>
      <c r="N175" s="37">
        <f>SUM(O158:P159)/SUM($O$148:$P$163)</f>
        <v>5.231696438411218E-2</v>
      </c>
      <c r="O175" s="37">
        <f>SUM(O160:P163)/SUM($O$148:$P$163)</f>
        <v>3.9031908204785269E-2</v>
      </c>
    </row>
    <row r="176" spans="1:18" x14ac:dyDescent="0.25">
      <c r="B176">
        <v>78.914366008321068</v>
      </c>
      <c r="C176">
        <v>63.501959516313946</v>
      </c>
      <c r="J176" s="37"/>
      <c r="K176" s="37"/>
      <c r="L176" s="37"/>
    </row>
    <row r="177" spans="2:12" x14ac:dyDescent="0.25">
      <c r="B177">
        <v>79.281505233843589</v>
      </c>
      <c r="C177">
        <v>61.808893525808607</v>
      </c>
      <c r="J177" s="37"/>
      <c r="K177" s="37"/>
      <c r="L177" s="37"/>
    </row>
    <row r="178" spans="2:12" x14ac:dyDescent="0.25">
      <c r="B178">
        <v>76.761204690685659</v>
      </c>
      <c r="C178">
        <v>63.34770383640879</v>
      </c>
    </row>
    <row r="179" spans="2:12" x14ac:dyDescent="0.25">
      <c r="B179">
        <v>68.455356551320349</v>
      </c>
      <c r="C179">
        <v>62.295140446760811</v>
      </c>
    </row>
    <row r="180" spans="2:12" x14ac:dyDescent="0.25">
      <c r="B180">
        <v>52.79761793175328</v>
      </c>
      <c r="C180">
        <v>53.896253314179141</v>
      </c>
    </row>
    <row r="181" spans="2:12" x14ac:dyDescent="0.25">
      <c r="B181">
        <v>39.426762855575767</v>
      </c>
      <c r="C181">
        <v>45.40045622230565</v>
      </c>
    </row>
    <row r="182" spans="2:12" x14ac:dyDescent="0.25">
      <c r="B182">
        <v>27.874793548603069</v>
      </c>
      <c r="C182">
        <v>36.6473892522082</v>
      </c>
    </row>
    <row r="183" spans="2:12" x14ac:dyDescent="0.25">
      <c r="B183">
        <v>16.552556838385421</v>
      </c>
      <c r="C183">
        <v>25.00566497705227</v>
      </c>
    </row>
    <row r="184" spans="2:12" x14ac:dyDescent="0.25">
      <c r="B184">
        <v>7.9053693325667238</v>
      </c>
      <c r="C184">
        <v>14.68347255314491</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2"/>
  <sheetViews>
    <sheetView topLeftCell="A157" workbookViewId="0">
      <selection activeCell="K58" sqref="K58"/>
    </sheetView>
  </sheetViews>
  <sheetFormatPr defaultRowHeight="15" x14ac:dyDescent="0.25"/>
  <cols>
    <col min="9" max="9" width="10.140625" bestFit="1" customWidth="1"/>
  </cols>
  <sheetData>
    <row r="1" spans="1:26" x14ac:dyDescent="0.25">
      <c r="A1" s="2" t="s">
        <v>390</v>
      </c>
    </row>
    <row r="2" spans="1:26" ht="15" customHeight="1" x14ac:dyDescent="0.25">
      <c r="B2" t="s">
        <v>391</v>
      </c>
      <c r="J2" t="s">
        <v>158</v>
      </c>
      <c r="T2" s="21"/>
      <c r="U2" s="21"/>
      <c r="V2" s="21"/>
      <c r="W2" s="21"/>
      <c r="X2" s="21"/>
      <c r="Y2" s="21"/>
      <c r="Z2" s="21"/>
    </row>
    <row r="3" spans="1:26" ht="15" customHeight="1" x14ac:dyDescent="0.25">
      <c r="B3" t="s">
        <v>80</v>
      </c>
      <c r="C3" t="s">
        <v>222</v>
      </c>
      <c r="D3" t="s">
        <v>217</v>
      </c>
      <c r="E3" t="s">
        <v>144</v>
      </c>
      <c r="J3" s="21" t="s">
        <v>80</v>
      </c>
      <c r="K3" s="21" t="s">
        <v>222</v>
      </c>
      <c r="L3" s="21" t="s">
        <v>217</v>
      </c>
      <c r="M3" s="21" t="s">
        <v>144</v>
      </c>
      <c r="T3" s="21"/>
      <c r="U3" s="21"/>
      <c r="V3" s="21"/>
      <c r="W3" s="21"/>
      <c r="X3" s="21"/>
      <c r="Y3" s="21"/>
      <c r="Z3" s="21"/>
    </row>
    <row r="4" spans="1:26" x14ac:dyDescent="0.25">
      <c r="B4" t="s">
        <v>137</v>
      </c>
      <c r="C4">
        <v>3</v>
      </c>
      <c r="D4">
        <v>0.4</v>
      </c>
      <c r="E4">
        <v>1.6</v>
      </c>
      <c r="J4" s="21" t="s">
        <v>137</v>
      </c>
      <c r="K4" s="21">
        <v>4.3395999999999999</v>
      </c>
      <c r="L4" s="21">
        <v>0.1419</v>
      </c>
      <c r="M4" s="21">
        <v>4.0270000000000001</v>
      </c>
      <c r="T4" s="21"/>
      <c r="U4" s="21"/>
      <c r="V4" s="21"/>
      <c r="W4" s="21"/>
      <c r="X4" s="21"/>
      <c r="Y4" s="21"/>
      <c r="Z4" s="21"/>
    </row>
    <row r="5" spans="1:26" x14ac:dyDescent="0.25">
      <c r="B5" t="s">
        <v>138</v>
      </c>
      <c r="C5">
        <v>9</v>
      </c>
      <c r="D5">
        <v>2.4</v>
      </c>
      <c r="E5">
        <v>6</v>
      </c>
      <c r="J5" s="21" t="s">
        <v>138</v>
      </c>
      <c r="K5" s="21">
        <v>29.970300000000002</v>
      </c>
      <c r="L5" s="21">
        <v>5.6208</v>
      </c>
      <c r="M5" s="21">
        <v>21.856100000000001</v>
      </c>
      <c r="T5" s="21"/>
      <c r="U5" s="21"/>
      <c r="V5" s="21"/>
      <c r="W5" s="21"/>
      <c r="X5" s="21"/>
      <c r="Y5" s="21"/>
      <c r="Z5" s="21"/>
    </row>
    <row r="6" spans="1:26" x14ac:dyDescent="0.25">
      <c r="B6" t="s">
        <v>139</v>
      </c>
      <c r="C6">
        <v>12.9</v>
      </c>
      <c r="D6">
        <v>7.3</v>
      </c>
      <c r="E6">
        <v>10.4</v>
      </c>
      <c r="J6" s="21" t="s">
        <v>139</v>
      </c>
      <c r="K6" s="21">
        <v>21.8535</v>
      </c>
      <c r="L6" s="21">
        <v>23.183499999999999</v>
      </c>
      <c r="M6" s="21">
        <v>18.897300000000001</v>
      </c>
      <c r="T6" s="21"/>
      <c r="U6" s="21"/>
      <c r="V6" s="21"/>
      <c r="W6" s="21"/>
      <c r="X6" s="21"/>
      <c r="Y6" s="21"/>
      <c r="Z6" s="21"/>
    </row>
    <row r="7" spans="1:26" x14ac:dyDescent="0.25">
      <c r="B7" t="s">
        <v>140</v>
      </c>
      <c r="C7">
        <v>11.7</v>
      </c>
      <c r="D7">
        <v>6.6</v>
      </c>
      <c r="E7">
        <v>9.4</v>
      </c>
      <c r="J7" s="21" t="s">
        <v>140</v>
      </c>
      <c r="K7" s="21">
        <v>16.320799999999998</v>
      </c>
      <c r="L7" s="21">
        <v>17.728400000000001</v>
      </c>
      <c r="M7" s="21">
        <v>11.5449</v>
      </c>
      <c r="T7" s="21"/>
      <c r="U7" s="21"/>
      <c r="V7" s="21"/>
      <c r="W7" s="21"/>
      <c r="X7" s="21"/>
      <c r="Y7" s="21"/>
      <c r="Z7" s="21"/>
    </row>
    <row r="8" spans="1:26" x14ac:dyDescent="0.25">
      <c r="B8" t="s">
        <v>141</v>
      </c>
      <c r="C8">
        <v>11.8</v>
      </c>
      <c r="D8">
        <v>8.4</v>
      </c>
      <c r="E8">
        <v>10.1</v>
      </c>
      <c r="J8" s="21" t="s">
        <v>141</v>
      </c>
      <c r="K8" s="21">
        <v>17.982800000000001</v>
      </c>
      <c r="L8" s="21">
        <v>19.689599999999999</v>
      </c>
      <c r="M8" s="21">
        <v>13.7293</v>
      </c>
      <c r="T8" s="21"/>
      <c r="U8" s="21"/>
      <c r="V8" s="21"/>
      <c r="W8" s="21"/>
      <c r="X8" s="21"/>
      <c r="Y8" s="21"/>
      <c r="Z8" s="21"/>
    </row>
    <row r="9" spans="1:26" x14ac:dyDescent="0.25">
      <c r="B9" t="s">
        <v>142</v>
      </c>
      <c r="C9">
        <v>9.5</v>
      </c>
      <c r="D9">
        <v>8.8000000000000007</v>
      </c>
      <c r="E9">
        <v>9.1</v>
      </c>
      <c r="J9" s="21" t="s">
        <v>142</v>
      </c>
      <c r="K9" s="21">
        <v>33.171199999999999</v>
      </c>
      <c r="L9" s="21">
        <v>24.622299999999999</v>
      </c>
      <c r="M9" s="21">
        <v>17.517399999999999</v>
      </c>
      <c r="T9" s="21"/>
      <c r="U9" s="21"/>
      <c r="V9" s="21"/>
      <c r="W9" s="21"/>
      <c r="X9" s="21"/>
      <c r="Y9" s="21"/>
      <c r="Z9" s="21"/>
    </row>
    <row r="10" spans="1:26" x14ac:dyDescent="0.25">
      <c r="B10" t="s">
        <v>143</v>
      </c>
      <c r="C10">
        <v>3.9</v>
      </c>
      <c r="D10">
        <v>5.2</v>
      </c>
      <c r="E10">
        <v>4.4000000000000004</v>
      </c>
      <c r="J10" s="21" t="s">
        <v>143</v>
      </c>
      <c r="K10" s="21">
        <v>15.8049</v>
      </c>
      <c r="L10" s="21">
        <v>18.665800000000001</v>
      </c>
      <c r="M10" s="21">
        <v>7.2714999999999996</v>
      </c>
      <c r="S10" s="21"/>
      <c r="T10" s="21"/>
      <c r="U10" s="21"/>
      <c r="V10" s="21"/>
      <c r="W10" s="21"/>
      <c r="X10" s="21"/>
      <c r="Y10" s="21"/>
      <c r="Z10" s="21"/>
    </row>
    <row r="11" spans="1:26" x14ac:dyDescent="0.25">
      <c r="B11" t="s">
        <v>392</v>
      </c>
      <c r="D11">
        <v>5.7</v>
      </c>
      <c r="J11" s="21" t="s">
        <v>392</v>
      </c>
      <c r="K11" t="s">
        <v>531</v>
      </c>
      <c r="L11" s="21">
        <v>20.7746</v>
      </c>
      <c r="M11" s="21">
        <v>5.1565000000000003</v>
      </c>
      <c r="S11" s="21"/>
      <c r="T11" s="21"/>
      <c r="U11" s="21"/>
      <c r="V11" s="21"/>
      <c r="W11" s="21"/>
      <c r="X11" s="21"/>
      <c r="Y11" s="21"/>
      <c r="Z11" s="21"/>
    </row>
    <row r="12" spans="1:26" x14ac:dyDescent="0.25">
      <c r="B12" t="s">
        <v>144</v>
      </c>
      <c r="C12">
        <v>8.6999999999999993</v>
      </c>
      <c r="D12">
        <v>4.5999999999999996</v>
      </c>
      <c r="E12">
        <v>6.7</v>
      </c>
      <c r="J12" t="s">
        <v>144</v>
      </c>
      <c r="K12">
        <v>18.2517</v>
      </c>
      <c r="L12">
        <v>12.285500000000001</v>
      </c>
      <c r="M12">
        <v>15.355399999999999</v>
      </c>
      <c r="S12" s="21"/>
      <c r="T12" s="21"/>
      <c r="U12" s="21"/>
      <c r="V12" s="21"/>
      <c r="W12" s="21"/>
      <c r="X12" s="21"/>
      <c r="Y12" s="21"/>
      <c r="Z12" s="21"/>
    </row>
    <row r="13" spans="1:26" x14ac:dyDescent="0.25">
      <c r="B13" t="s">
        <v>158</v>
      </c>
      <c r="C13">
        <v>18.3</v>
      </c>
      <c r="D13">
        <v>1.6</v>
      </c>
      <c r="E13">
        <v>15.1</v>
      </c>
      <c r="K13" t="s">
        <v>532</v>
      </c>
      <c r="S13" s="21"/>
      <c r="T13" s="21"/>
      <c r="U13" s="21"/>
      <c r="V13" s="21"/>
      <c r="W13" s="21"/>
      <c r="X13" s="21"/>
      <c r="Y13" s="21"/>
      <c r="Z13" s="21"/>
    </row>
    <row r="14" spans="1:26" x14ac:dyDescent="0.25">
      <c r="S14" s="21"/>
      <c r="T14" s="21"/>
      <c r="U14" s="21"/>
      <c r="V14" s="21"/>
      <c r="W14" s="21"/>
      <c r="X14" s="21"/>
      <c r="Y14" s="21"/>
      <c r="Z14" s="21"/>
    </row>
    <row r="15" spans="1:26" s="21" customFormat="1" x14ac:dyDescent="0.25">
      <c r="A15" s="2" t="s">
        <v>535</v>
      </c>
    </row>
    <row r="16" spans="1:26"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536</v>
      </c>
      <c r="C26" s="19">
        <v>4.7E-2</v>
      </c>
      <c r="D26" s="19">
        <v>2.3E-2</v>
      </c>
      <c r="E26" s="19">
        <v>3.6000000000000004E-2</v>
      </c>
    </row>
    <row r="27" spans="1:26" s="21" customFormat="1" x14ac:dyDescent="0.25">
      <c r="B27" s="21" t="s">
        <v>537</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row>
    <row r="29" spans="1:26" s="21" customFormat="1" x14ac:dyDescent="0.25">
      <c r="B29" s="21" t="s">
        <v>158</v>
      </c>
      <c r="C29" s="19">
        <v>0.18</v>
      </c>
      <c r="D29" s="19">
        <v>0.11</v>
      </c>
      <c r="E29" s="19">
        <v>0.14899999999999999</v>
      </c>
    </row>
    <row r="30" spans="1:26" s="21" customFormat="1" x14ac:dyDescent="0.25">
      <c r="C30" s="19"/>
      <c r="D30" s="19"/>
      <c r="E30" s="19"/>
    </row>
    <row r="31" spans="1:26" ht="16.5" customHeight="1" x14ac:dyDescent="0.25">
      <c r="A31" s="53" t="s">
        <v>1089</v>
      </c>
      <c r="B31" s="54"/>
      <c r="C31" s="54"/>
      <c r="D31" s="54"/>
      <c r="E31" s="54"/>
      <c r="S31" s="21"/>
      <c r="T31" s="21"/>
      <c r="U31" s="21"/>
      <c r="V31" s="21"/>
      <c r="W31" s="21"/>
      <c r="X31" s="21"/>
      <c r="Y31" s="21"/>
      <c r="Z31" s="21"/>
    </row>
    <row r="32" spans="1:26" ht="16.5" customHeight="1" x14ac:dyDescent="0.25">
      <c r="A32" s="54"/>
      <c r="B32" s="54" t="s">
        <v>179</v>
      </c>
      <c r="C32" s="54" t="s">
        <v>393</v>
      </c>
      <c r="D32" s="54"/>
      <c r="E32" s="54"/>
      <c r="S32" s="21"/>
      <c r="T32" s="21"/>
      <c r="U32" s="21"/>
      <c r="V32" s="21"/>
      <c r="W32" s="21"/>
      <c r="X32" s="21"/>
      <c r="Y32" s="21"/>
      <c r="Z32" s="21"/>
    </row>
    <row r="33" spans="1:26" x14ac:dyDescent="0.25">
      <c r="A33" s="54"/>
      <c r="B33" s="54" t="s">
        <v>246</v>
      </c>
      <c r="C33" s="54" t="s">
        <v>222</v>
      </c>
      <c r="D33" s="54" t="s">
        <v>223</v>
      </c>
      <c r="E33" s="54"/>
      <c r="T33" s="21"/>
      <c r="U33" s="21"/>
      <c r="V33" s="21"/>
      <c r="W33" s="21"/>
      <c r="X33" s="21"/>
      <c r="Y33" s="21"/>
      <c r="Z33" s="21"/>
    </row>
    <row r="34" spans="1:26" x14ac:dyDescent="0.25">
      <c r="A34" s="54"/>
      <c r="B34" s="54" t="s">
        <v>137</v>
      </c>
      <c r="C34" s="55">
        <v>0.05</v>
      </c>
      <c r="D34" s="55">
        <v>0.02</v>
      </c>
      <c r="E34" s="54"/>
      <c r="T34" s="21"/>
      <c r="U34" s="21"/>
      <c r="V34" s="21"/>
      <c r="W34" s="21"/>
      <c r="X34" s="21"/>
      <c r="Y34" s="21"/>
      <c r="Z34" s="21"/>
    </row>
    <row r="35" spans="1:26" x14ac:dyDescent="0.25">
      <c r="A35" s="54"/>
      <c r="B35" s="54" t="s">
        <v>394</v>
      </c>
      <c r="C35" s="55">
        <v>0.1414</v>
      </c>
      <c r="D35" s="55">
        <v>2.93E-2</v>
      </c>
      <c r="E35" s="54"/>
      <c r="T35" s="21"/>
      <c r="U35" s="21"/>
      <c r="V35" s="21"/>
      <c r="W35" s="21"/>
      <c r="X35" s="21"/>
      <c r="Y35" s="21"/>
      <c r="Z35" s="21"/>
    </row>
    <row r="36" spans="1:26" x14ac:dyDescent="0.25">
      <c r="A36" s="54"/>
      <c r="B36" s="54" t="s">
        <v>139</v>
      </c>
      <c r="C36" s="55">
        <v>0.25</v>
      </c>
      <c r="D36" s="55">
        <v>0.21</v>
      </c>
      <c r="E36" s="54"/>
      <c r="T36" s="21"/>
      <c r="U36" s="21"/>
      <c r="V36" s="21"/>
      <c r="W36" s="21"/>
      <c r="X36" s="21"/>
      <c r="Y36" s="21"/>
      <c r="Z36" s="21"/>
    </row>
    <row r="37" spans="1:26" x14ac:dyDescent="0.25">
      <c r="A37" s="54"/>
      <c r="B37" s="54" t="s">
        <v>140</v>
      </c>
      <c r="C37" s="55">
        <v>0.21</v>
      </c>
      <c r="D37" s="55">
        <v>0.24</v>
      </c>
      <c r="E37" s="54"/>
      <c r="T37" s="21"/>
      <c r="U37" s="21"/>
      <c r="V37" s="21"/>
      <c r="W37" s="21"/>
      <c r="X37" s="21"/>
      <c r="Y37" s="21"/>
      <c r="Z37" s="21"/>
    </row>
    <row r="38" spans="1:26" x14ac:dyDescent="0.25">
      <c r="A38" s="54"/>
      <c r="B38" s="54" t="s">
        <v>141</v>
      </c>
      <c r="C38" s="55">
        <v>0.28000000000000003</v>
      </c>
      <c r="D38" s="55">
        <v>0.2</v>
      </c>
      <c r="E38" s="54"/>
      <c r="T38" s="21"/>
      <c r="U38" s="21"/>
      <c r="V38" s="21"/>
      <c r="W38" s="21"/>
      <c r="X38" s="21"/>
      <c r="Y38" s="21"/>
      <c r="Z38" s="21"/>
    </row>
    <row r="39" spans="1:26" x14ac:dyDescent="0.25">
      <c r="A39" s="54"/>
      <c r="B39" s="54" t="s">
        <v>142</v>
      </c>
      <c r="C39" s="55">
        <v>0.17</v>
      </c>
      <c r="D39" s="55">
        <v>0.31</v>
      </c>
      <c r="E39" s="54"/>
      <c r="T39" s="21"/>
      <c r="U39" s="21"/>
      <c r="V39" s="21"/>
      <c r="W39" s="21"/>
      <c r="X39" s="21"/>
      <c r="Y39" s="21"/>
      <c r="Z39" s="21"/>
    </row>
    <row r="40" spans="1:26" s="21" customFormat="1" x14ac:dyDescent="0.25">
      <c r="A40" s="54"/>
      <c r="B40" s="54" t="s">
        <v>143</v>
      </c>
      <c r="C40" s="55">
        <v>0.23</v>
      </c>
      <c r="D40" s="55">
        <v>0.16</v>
      </c>
      <c r="E40" s="54"/>
    </row>
    <row r="41" spans="1:26" s="21" customFormat="1" x14ac:dyDescent="0.25">
      <c r="A41" s="54"/>
      <c r="B41" s="54" t="s">
        <v>392</v>
      </c>
      <c r="C41" s="55">
        <v>0.12</v>
      </c>
      <c r="D41" s="55">
        <v>0.21</v>
      </c>
      <c r="E41" s="54"/>
    </row>
    <row r="42" spans="1:26" s="21" customFormat="1" x14ac:dyDescent="0.25">
      <c r="A42" s="54"/>
      <c r="B42" s="54" t="s">
        <v>536</v>
      </c>
      <c r="C42" s="55">
        <v>0.06</v>
      </c>
      <c r="D42" s="55">
        <v>0.12</v>
      </c>
      <c r="E42" s="54"/>
    </row>
    <row r="43" spans="1:26" s="21" customFormat="1" x14ac:dyDescent="0.25">
      <c r="A43" s="54"/>
      <c r="B43" s="54" t="s">
        <v>537</v>
      </c>
      <c r="C43" s="55">
        <v>0.04</v>
      </c>
      <c r="D43" s="55">
        <v>0.12</v>
      </c>
      <c r="E43" s="54"/>
    </row>
    <row r="44" spans="1:26" x14ac:dyDescent="0.25">
      <c r="A44" s="54"/>
      <c r="B44" s="54" t="s">
        <v>395</v>
      </c>
      <c r="C44" s="55">
        <v>1E-3</v>
      </c>
      <c r="D44" s="55">
        <v>5.11E-2</v>
      </c>
      <c r="E44" s="54"/>
      <c r="T44" s="21"/>
      <c r="U44" s="21"/>
      <c r="V44" s="21"/>
      <c r="W44" s="21"/>
      <c r="X44" s="21"/>
      <c r="Y44" s="21"/>
      <c r="Z44" s="21"/>
    </row>
    <row r="45" spans="1:26" x14ac:dyDescent="0.25">
      <c r="A45" s="54"/>
      <c r="B45" s="54" t="s">
        <v>396</v>
      </c>
      <c r="C45" s="55">
        <v>0</v>
      </c>
      <c r="D45" s="55">
        <v>1.6500000000000001E-2</v>
      </c>
      <c r="E45" s="54"/>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row>
    <row r="61" spans="1:26" x14ac:dyDescent="0.25">
      <c r="B61" s="21" t="s">
        <v>80</v>
      </c>
      <c r="C61" s="21" t="s">
        <v>222</v>
      </c>
      <c r="D61" s="21" t="s">
        <v>217</v>
      </c>
      <c r="E61" s="21" t="s">
        <v>144</v>
      </c>
    </row>
    <row r="62" spans="1:26" x14ac:dyDescent="0.25">
      <c r="B62" s="21" t="s">
        <v>137</v>
      </c>
      <c r="C62" s="7">
        <v>10.7523</v>
      </c>
      <c r="D62" s="7">
        <v>1.8250999999999999</v>
      </c>
      <c r="E62" s="21">
        <v>5.7888999999999999</v>
      </c>
    </row>
    <row r="63" spans="1:26" x14ac:dyDescent="0.25">
      <c r="B63" s="21" t="s">
        <v>138</v>
      </c>
      <c r="C63" s="7">
        <v>11.913600000000001</v>
      </c>
      <c r="D63" s="7">
        <v>5.7523</v>
      </c>
      <c r="E63" s="21">
        <v>9.6933000000000007</v>
      </c>
    </row>
    <row r="64" spans="1:26" x14ac:dyDescent="0.25">
      <c r="B64" s="21" t="s">
        <v>139</v>
      </c>
      <c r="C64" s="7">
        <v>22.196400000000001</v>
      </c>
      <c r="D64" s="7">
        <v>24.328299999999999</v>
      </c>
      <c r="E64" s="21">
        <v>22.979299999999999</v>
      </c>
    </row>
    <row r="65" spans="1:14" x14ac:dyDescent="0.25">
      <c r="B65" s="21" t="s">
        <v>140</v>
      </c>
      <c r="C65" s="7">
        <v>25.5763</v>
      </c>
      <c r="D65" s="7">
        <v>15.297700000000001</v>
      </c>
      <c r="E65" s="21">
        <v>20.091699999999999</v>
      </c>
    </row>
    <row r="66" spans="1:14" x14ac:dyDescent="0.25">
      <c r="B66" s="21" t="s">
        <v>141</v>
      </c>
      <c r="C66" s="7">
        <v>22.250399999999999</v>
      </c>
      <c r="D66" s="7">
        <v>22.5062</v>
      </c>
      <c r="E66" s="21">
        <v>22.363299999999999</v>
      </c>
    </row>
    <row r="67" spans="1:14" x14ac:dyDescent="0.25">
      <c r="B67" s="21" t="s">
        <v>142</v>
      </c>
      <c r="C67" s="7">
        <v>9.2730999999999995</v>
      </c>
      <c r="D67" s="7">
        <v>24.727399999999999</v>
      </c>
      <c r="E67" s="21">
        <v>16.4572</v>
      </c>
    </row>
    <row r="68" spans="1:14" x14ac:dyDescent="0.25">
      <c r="B68" s="21" t="s">
        <v>143</v>
      </c>
      <c r="C68" s="7">
        <v>17.155999999999999</v>
      </c>
      <c r="D68" s="7">
        <v>12.907299999999999</v>
      </c>
      <c r="E68" s="21">
        <v>15.566700000000001</v>
      </c>
    </row>
    <row r="69" spans="1:14" x14ac:dyDescent="0.25">
      <c r="B69" s="21" t="s">
        <v>392</v>
      </c>
      <c r="C69" s="21"/>
      <c r="D69" s="21">
        <v>15.9094</v>
      </c>
      <c r="E69" s="31" t="s">
        <v>530</v>
      </c>
    </row>
    <row r="70" spans="1:14" x14ac:dyDescent="0.25">
      <c r="B70" s="21" t="s">
        <v>144</v>
      </c>
      <c r="C70" s="21">
        <v>15.968400000000001</v>
      </c>
      <c r="D70" s="21">
        <v>11.6173</v>
      </c>
      <c r="E70" s="21">
        <v>13.941800000000001</v>
      </c>
    </row>
    <row r="72" spans="1:14" x14ac:dyDescent="0.25">
      <c r="A72" s="2" t="s">
        <v>589</v>
      </c>
    </row>
    <row r="73" spans="1:14" x14ac:dyDescent="0.25">
      <c r="N73" s="2"/>
    </row>
    <row r="74" spans="1:14" x14ac:dyDescent="0.25">
      <c r="B74" t="s">
        <v>590</v>
      </c>
    </row>
    <row r="75" spans="1:14" x14ac:dyDescent="0.25">
      <c r="B75" t="s">
        <v>483</v>
      </c>
      <c r="C75" t="s">
        <v>215</v>
      </c>
      <c r="D75" t="s">
        <v>223</v>
      </c>
      <c r="E75" t="s">
        <v>144</v>
      </c>
    </row>
    <row r="76" spans="1:14" x14ac:dyDescent="0.25">
      <c r="B76" s="21" t="s">
        <v>473</v>
      </c>
      <c r="C76" s="18">
        <v>0.224</v>
      </c>
      <c r="D76" s="18">
        <v>0.19400000000000001</v>
      </c>
      <c r="E76" s="18">
        <v>0.21</v>
      </c>
    </row>
    <row r="77" spans="1:14" x14ac:dyDescent="0.25">
      <c r="B77" s="21" t="s">
        <v>480</v>
      </c>
      <c r="C77" s="18">
        <v>4.7E-2</v>
      </c>
      <c r="D77" s="18">
        <v>0.04</v>
      </c>
      <c r="E77" s="18">
        <v>4.3999999999999997E-2</v>
      </c>
    </row>
    <row r="78" spans="1:14" x14ac:dyDescent="0.25">
      <c r="B78" s="21" t="s">
        <v>474</v>
      </c>
      <c r="C78" s="18">
        <v>0.14199999999999999</v>
      </c>
      <c r="D78" s="18">
        <v>0.122</v>
      </c>
      <c r="E78" s="18">
        <v>0.13300000000000001</v>
      </c>
    </row>
    <row r="79" spans="1:14" x14ac:dyDescent="0.25">
      <c r="B79" s="21" t="s">
        <v>472</v>
      </c>
      <c r="C79" s="18">
        <v>0.17399999999999999</v>
      </c>
      <c r="D79" s="18">
        <v>0.15</v>
      </c>
      <c r="E79" s="18">
        <v>0.16300000000000001</v>
      </c>
    </row>
    <row r="80" spans="1:14"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591</v>
      </c>
      <c r="I83" s="21"/>
    </row>
    <row r="84" spans="1:9" x14ac:dyDescent="0.25">
      <c r="B84" t="s">
        <v>592</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593</v>
      </c>
      <c r="E94">
        <v>0.14560000000000001</v>
      </c>
    </row>
    <row r="95" spans="1:9" x14ac:dyDescent="0.25">
      <c r="B95" s="33">
        <v>2019</v>
      </c>
      <c r="C95" s="34">
        <v>0.12520000000000001</v>
      </c>
      <c r="E95">
        <v>0.12520000000000001</v>
      </c>
    </row>
    <row r="97" spans="1:3" x14ac:dyDescent="0.25">
      <c r="A97" s="2" t="s">
        <v>594</v>
      </c>
    </row>
    <row r="98" spans="1:3" x14ac:dyDescent="0.25">
      <c r="B98" t="s">
        <v>595</v>
      </c>
    </row>
    <row r="99" spans="1:3" x14ac:dyDescent="0.25">
      <c r="B99" t="s">
        <v>196</v>
      </c>
      <c r="C99" t="s">
        <v>596</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999</v>
      </c>
    </row>
    <row r="120" spans="1:7" x14ac:dyDescent="0.25">
      <c r="B120" t="s">
        <v>991</v>
      </c>
    </row>
    <row r="121" spans="1:7" x14ac:dyDescent="0.25">
      <c r="B121" t="s">
        <v>196</v>
      </c>
      <c r="C121" t="s">
        <v>987</v>
      </c>
      <c r="D121" t="s">
        <v>480</v>
      </c>
      <c r="E121" t="s">
        <v>988</v>
      </c>
      <c r="F121" t="s">
        <v>989</v>
      </c>
      <c r="G121" t="s">
        <v>990</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1000</v>
      </c>
      <c r="B143" s="37"/>
    </row>
    <row r="144" spans="1:7" x14ac:dyDescent="0.25">
      <c r="B144" t="s">
        <v>1001</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646</v>
      </c>
      <c r="C153">
        <v>8</v>
      </c>
      <c r="D153">
        <v>13.7</v>
      </c>
      <c r="E153">
        <v>10.8</v>
      </c>
    </row>
    <row r="155" spans="1:8" x14ac:dyDescent="0.25">
      <c r="A155" s="2" t="s">
        <v>1002</v>
      </c>
    </row>
    <row r="156" spans="1:8" x14ac:dyDescent="0.25">
      <c r="B156" t="s">
        <v>1012</v>
      </c>
    </row>
    <row r="157" spans="1:8" x14ac:dyDescent="0.25">
      <c r="B157" t="s">
        <v>1003</v>
      </c>
    </row>
    <row r="158" spans="1:8" s="37" customFormat="1" x14ac:dyDescent="0.25">
      <c r="B158" t="s">
        <v>1011</v>
      </c>
      <c r="C158"/>
      <c r="D158"/>
      <c r="E158"/>
      <c r="F158"/>
      <c r="G158"/>
      <c r="H158"/>
    </row>
    <row r="159" spans="1:8" s="37" customFormat="1" x14ac:dyDescent="0.25">
      <c r="B159" t="s">
        <v>1009</v>
      </c>
      <c r="C159">
        <v>29.2</v>
      </c>
      <c r="D159">
        <v>26.2</v>
      </c>
      <c r="E159">
        <v>32.200000000000003</v>
      </c>
      <c r="F159">
        <v>31.1</v>
      </c>
      <c r="G159">
        <v>27.9</v>
      </c>
      <c r="H159">
        <v>34.299999999999997</v>
      </c>
    </row>
    <row r="160" spans="1:8" s="37" customFormat="1" x14ac:dyDescent="0.25">
      <c r="B160" t="s">
        <v>1010</v>
      </c>
      <c r="C160"/>
      <c r="D160"/>
      <c r="E160"/>
      <c r="F160">
        <v>19</v>
      </c>
      <c r="G160">
        <v>15.9</v>
      </c>
      <c r="H160">
        <v>22.2</v>
      </c>
    </row>
    <row r="161" spans="2:9" s="37" customFormat="1" x14ac:dyDescent="0.25">
      <c r="B161" t="s">
        <v>1008</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1004</v>
      </c>
      <c r="D164" t="s">
        <v>576</v>
      </c>
      <c r="E164" t="s">
        <v>577</v>
      </c>
      <c r="F164" t="s">
        <v>1005</v>
      </c>
      <c r="G164" t="s">
        <v>576</v>
      </c>
      <c r="H164" t="s">
        <v>1006</v>
      </c>
    </row>
    <row r="165" spans="2:9" x14ac:dyDescent="0.25">
      <c r="B165" s="37" t="s">
        <v>137</v>
      </c>
      <c r="C165" s="57">
        <v>21.9166666666666</v>
      </c>
      <c r="F165" s="57">
        <v>23.1666666666666</v>
      </c>
      <c r="I165" s="44" t="s">
        <v>1091</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1007</v>
      </c>
      <c r="C170">
        <v>30.6</v>
      </c>
      <c r="D170">
        <v>28.3</v>
      </c>
      <c r="E170">
        <v>33</v>
      </c>
      <c r="F170">
        <v>30.1</v>
      </c>
      <c r="G170">
        <v>27.1</v>
      </c>
      <c r="H170">
        <v>33.299999999999997</v>
      </c>
    </row>
    <row r="171" spans="2:9" x14ac:dyDescent="0.25">
      <c r="B171" s="37" t="s">
        <v>1090</v>
      </c>
      <c r="C171" s="37">
        <v>23.2</v>
      </c>
      <c r="D171" s="37">
        <v>20</v>
      </c>
      <c r="E171" s="37">
        <v>26.8</v>
      </c>
      <c r="F171" s="37">
        <v>19.8</v>
      </c>
      <c r="G171" s="37">
        <v>16.7</v>
      </c>
      <c r="H171" s="37">
        <v>23.1</v>
      </c>
    </row>
    <row r="172" spans="2:9" x14ac:dyDescent="0.25">
      <c r="B172" t="s">
        <v>1008</v>
      </c>
      <c r="F172">
        <v>25.9</v>
      </c>
      <c r="G172">
        <v>23.7</v>
      </c>
      <c r="H172">
        <v>28.2</v>
      </c>
    </row>
    <row r="174" spans="2:9" x14ac:dyDescent="0.25">
      <c r="B174" t="s">
        <v>1013</v>
      </c>
    </row>
    <row r="175" spans="2:9" x14ac:dyDescent="0.25">
      <c r="C175" t="s">
        <v>1004</v>
      </c>
      <c r="D175" t="s">
        <v>576</v>
      </c>
      <c r="E175" t="s">
        <v>577</v>
      </c>
      <c r="F175" t="s">
        <v>220</v>
      </c>
      <c r="G175" t="s">
        <v>576</v>
      </c>
      <c r="H175" t="s">
        <v>577</v>
      </c>
    </row>
    <row r="176" spans="2:9" x14ac:dyDescent="0.25">
      <c r="B176" t="s">
        <v>137</v>
      </c>
      <c r="C176">
        <v>5.8</v>
      </c>
      <c r="D176">
        <v>0.28000000000000003</v>
      </c>
      <c r="E176">
        <v>11.3</v>
      </c>
      <c r="F176">
        <v>3.5</v>
      </c>
      <c r="G176">
        <v>1.1000000000000001</v>
      </c>
      <c r="H176">
        <v>7.9</v>
      </c>
    </row>
    <row r="177" spans="2:8" x14ac:dyDescent="0.25">
      <c r="B177" t="s">
        <v>1014</v>
      </c>
      <c r="C177">
        <v>29.1</v>
      </c>
      <c r="D177">
        <v>25.6</v>
      </c>
      <c r="E177">
        <v>32.6</v>
      </c>
      <c r="F177">
        <v>18.3</v>
      </c>
      <c r="G177">
        <v>13.6</v>
      </c>
      <c r="H177">
        <v>23.7</v>
      </c>
    </row>
    <row r="178" spans="2:8" x14ac:dyDescent="0.25">
      <c r="B178" t="s">
        <v>156</v>
      </c>
      <c r="C178">
        <v>34.5</v>
      </c>
      <c r="D178">
        <v>30.2</v>
      </c>
      <c r="E178">
        <v>38.799999999999997</v>
      </c>
      <c r="F178">
        <v>33.1</v>
      </c>
      <c r="G178">
        <v>25.8</v>
      </c>
      <c r="H178">
        <v>41.1</v>
      </c>
    </row>
    <row r="179" spans="2:8" x14ac:dyDescent="0.25">
      <c r="B179" t="s">
        <v>157</v>
      </c>
      <c r="C179">
        <v>36.5</v>
      </c>
      <c r="D179">
        <v>27.9</v>
      </c>
      <c r="E179">
        <v>45</v>
      </c>
      <c r="F179">
        <v>27.7</v>
      </c>
      <c r="G179">
        <v>18.399999999999999</v>
      </c>
      <c r="H179">
        <v>38.6</v>
      </c>
    </row>
    <row r="180" spans="2:8" x14ac:dyDescent="0.25">
      <c r="B180" t="s">
        <v>1015</v>
      </c>
      <c r="C180">
        <v>23.2</v>
      </c>
      <c r="D180">
        <v>20</v>
      </c>
      <c r="E180">
        <v>26.8</v>
      </c>
      <c r="F180">
        <v>19.8</v>
      </c>
      <c r="G180">
        <v>16.7</v>
      </c>
      <c r="H180">
        <v>23.1</v>
      </c>
    </row>
    <row r="183" spans="2:8" x14ac:dyDescent="0.25">
      <c r="C183" s="37"/>
      <c r="D183" s="37"/>
    </row>
    <row r="184" spans="2:8" x14ac:dyDescent="0.25">
      <c r="C184" s="37"/>
      <c r="D184" s="37"/>
    </row>
    <row r="185" spans="2:8" x14ac:dyDescent="0.25">
      <c r="C185" s="37"/>
      <c r="D185" s="37"/>
    </row>
    <row r="186" spans="2:8" x14ac:dyDescent="0.25">
      <c r="C186" s="37"/>
      <c r="D186" s="37"/>
    </row>
    <row r="187" spans="2:8" x14ac:dyDescent="0.25">
      <c r="C187" s="37"/>
      <c r="D187" s="37"/>
    </row>
    <row r="188" spans="2:8" x14ac:dyDescent="0.25">
      <c r="C188" s="37"/>
      <c r="D188" s="37"/>
    </row>
    <row r="189" spans="2:8" x14ac:dyDescent="0.25">
      <c r="C189" s="37"/>
      <c r="D189" s="37"/>
    </row>
    <row r="190" spans="2:8" x14ac:dyDescent="0.25">
      <c r="C190" s="37"/>
      <c r="D190" s="37"/>
    </row>
    <row r="191" spans="2:8" x14ac:dyDescent="0.25">
      <c r="C191" s="37"/>
      <c r="D191" s="37"/>
    </row>
    <row r="192" spans="2:8" x14ac:dyDescent="0.25">
      <c r="C192" s="37"/>
      <c r="D192" s="37"/>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965</v>
      </c>
    </row>
    <row r="2" spans="1:18" x14ac:dyDescent="0.25">
      <c r="B2" t="s">
        <v>966</v>
      </c>
    </row>
    <row r="3" spans="1:18" x14ac:dyDescent="0.25">
      <c r="B3" s="37"/>
      <c r="C3" s="64" t="s">
        <v>781</v>
      </c>
      <c r="D3" s="64"/>
      <c r="E3" s="64"/>
      <c r="F3" s="64"/>
      <c r="G3" s="64"/>
      <c r="H3" s="64"/>
      <c r="I3" s="64"/>
      <c r="J3" s="65" t="s">
        <v>782</v>
      </c>
      <c r="K3" s="65"/>
      <c r="L3" s="65"/>
      <c r="M3" s="65"/>
      <c r="N3" s="65"/>
      <c r="O3" s="65"/>
      <c r="P3" s="65"/>
    </row>
    <row r="4" spans="1:18" x14ac:dyDescent="0.25">
      <c r="B4" s="37"/>
      <c r="C4" s="64" t="s">
        <v>783</v>
      </c>
      <c r="D4" s="64"/>
      <c r="E4" s="64"/>
      <c r="F4" s="64"/>
      <c r="G4" s="64"/>
      <c r="H4" s="64"/>
      <c r="I4" s="64"/>
      <c r="J4" s="65" t="s">
        <v>784</v>
      </c>
      <c r="K4" s="65"/>
      <c r="L4" s="65"/>
      <c r="M4" s="65"/>
      <c r="N4" s="65"/>
      <c r="O4" s="65"/>
      <c r="P4" s="65"/>
    </row>
    <row r="5" spans="1:18" x14ac:dyDescent="0.25">
      <c r="B5" s="37"/>
      <c r="C5" s="64" t="s">
        <v>785</v>
      </c>
      <c r="D5" s="64" t="s">
        <v>786</v>
      </c>
      <c r="E5" s="64" t="s">
        <v>787</v>
      </c>
      <c r="F5" s="64" t="s">
        <v>788</v>
      </c>
      <c r="G5" s="64" t="s">
        <v>789</v>
      </c>
      <c r="H5" s="64" t="s">
        <v>790</v>
      </c>
      <c r="I5" s="64" t="s">
        <v>673</v>
      </c>
      <c r="J5" s="65" t="s">
        <v>785</v>
      </c>
      <c r="K5" s="65" t="s">
        <v>786</v>
      </c>
      <c r="L5" s="65" t="s">
        <v>787</v>
      </c>
      <c r="M5" s="65" t="s">
        <v>788</v>
      </c>
      <c r="N5" s="65" t="s">
        <v>789</v>
      </c>
      <c r="O5" s="65" t="s">
        <v>790</v>
      </c>
      <c r="P5" s="65" t="s">
        <v>673</v>
      </c>
      <c r="R5" t="s">
        <v>225</v>
      </c>
    </row>
    <row r="6" spans="1:18" x14ac:dyDescent="0.25">
      <c r="B6" s="37" t="s">
        <v>791</v>
      </c>
      <c r="C6" s="64"/>
      <c r="D6" s="64"/>
      <c r="E6" s="64"/>
      <c r="F6" s="64"/>
      <c r="G6" s="64"/>
      <c r="H6" s="64"/>
      <c r="I6" s="64"/>
      <c r="J6" s="65"/>
      <c r="K6" s="65"/>
      <c r="L6" s="65"/>
      <c r="M6" s="65"/>
      <c r="N6" s="65"/>
      <c r="O6" s="65"/>
      <c r="P6" s="65"/>
    </row>
    <row r="7" spans="1:18" x14ac:dyDescent="0.25">
      <c r="B7" s="37" t="s">
        <v>792</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793</v>
      </c>
      <c r="D8" s="64" t="s">
        <v>794</v>
      </c>
      <c r="E8" s="64" t="s">
        <v>795</v>
      </c>
      <c r="F8" s="64" t="s">
        <v>796</v>
      </c>
      <c r="G8" s="64" t="s">
        <v>797</v>
      </c>
      <c r="H8" s="64" t="s">
        <v>798</v>
      </c>
      <c r="I8" s="64" t="s">
        <v>799</v>
      </c>
      <c r="J8" s="65" t="s">
        <v>800</v>
      </c>
      <c r="K8" s="65" t="s">
        <v>801</v>
      </c>
      <c r="L8" s="65" t="s">
        <v>802</v>
      </c>
      <c r="M8" s="65" t="s">
        <v>803</v>
      </c>
      <c r="N8" s="65" t="s">
        <v>804</v>
      </c>
      <c r="O8" s="65" t="s">
        <v>805</v>
      </c>
      <c r="P8" s="65" t="s">
        <v>806</v>
      </c>
      <c r="R8">
        <f xml:space="preserve"> (9.94/1.96)-33.6</f>
        <v>-28.528571428571432</v>
      </c>
    </row>
    <row r="9" spans="1:18" x14ac:dyDescent="0.25">
      <c r="B9" s="37" t="s">
        <v>807</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808</v>
      </c>
      <c r="D10" s="64" t="s">
        <v>809</v>
      </c>
      <c r="E10" s="64" t="s">
        <v>810</v>
      </c>
      <c r="F10" s="64" t="s">
        <v>811</v>
      </c>
      <c r="G10" s="64" t="s">
        <v>812</v>
      </c>
      <c r="H10" s="64" t="s">
        <v>813</v>
      </c>
      <c r="I10" s="64" t="s">
        <v>814</v>
      </c>
      <c r="J10" s="65" t="s">
        <v>815</v>
      </c>
      <c r="K10" s="65" t="s">
        <v>816</v>
      </c>
      <c r="L10" s="65" t="s">
        <v>817</v>
      </c>
      <c r="M10" s="65" t="s">
        <v>818</v>
      </c>
      <c r="N10" s="65" t="s">
        <v>819</v>
      </c>
      <c r="O10" s="65" t="s">
        <v>820</v>
      </c>
      <c r="P10" s="65" t="s">
        <v>821</v>
      </c>
    </row>
    <row r="11" spans="1:18" x14ac:dyDescent="0.25">
      <c r="B11" s="37" t="s">
        <v>822</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823</v>
      </c>
      <c r="D12" s="64" t="s">
        <v>824</v>
      </c>
      <c r="E12" s="64" t="s">
        <v>825</v>
      </c>
      <c r="F12" s="64" t="s">
        <v>826</v>
      </c>
      <c r="G12" s="64" t="s">
        <v>827</v>
      </c>
      <c r="H12" s="64" t="s">
        <v>828</v>
      </c>
      <c r="I12" s="64" t="s">
        <v>829</v>
      </c>
      <c r="J12" s="65" t="s">
        <v>830</v>
      </c>
      <c r="K12" s="65" t="s">
        <v>831</v>
      </c>
      <c r="L12" s="65" t="s">
        <v>832</v>
      </c>
      <c r="M12" s="65" t="s">
        <v>833</v>
      </c>
      <c r="N12" s="65" t="s">
        <v>834</v>
      </c>
      <c r="O12" s="65" t="s">
        <v>835</v>
      </c>
      <c r="P12" s="65" t="s">
        <v>836</v>
      </c>
    </row>
    <row r="13" spans="1:18" x14ac:dyDescent="0.25">
      <c r="B13" s="37" t="s">
        <v>837</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838</v>
      </c>
      <c r="D14" s="64" t="s">
        <v>839</v>
      </c>
      <c r="E14" s="64" t="s">
        <v>840</v>
      </c>
      <c r="F14" s="64" t="s">
        <v>841</v>
      </c>
      <c r="G14" s="64" t="s">
        <v>842</v>
      </c>
      <c r="H14" s="64" t="s">
        <v>843</v>
      </c>
      <c r="I14" s="64" t="s">
        <v>844</v>
      </c>
      <c r="J14" s="65" t="s">
        <v>845</v>
      </c>
      <c r="K14" s="65" t="s">
        <v>846</v>
      </c>
      <c r="L14" s="65" t="s">
        <v>847</v>
      </c>
      <c r="M14" s="65" t="s">
        <v>848</v>
      </c>
      <c r="N14" s="65" t="s">
        <v>849</v>
      </c>
      <c r="O14" s="65" t="s">
        <v>850</v>
      </c>
      <c r="P14" s="65" t="s">
        <v>851</v>
      </c>
    </row>
    <row r="15" spans="1:18" x14ac:dyDescent="0.25">
      <c r="B15" s="37" t="s">
        <v>852</v>
      </c>
      <c r="C15" s="64"/>
      <c r="D15" s="64"/>
      <c r="E15" s="64"/>
      <c r="F15" s="64"/>
      <c r="G15" s="64"/>
      <c r="H15" s="64"/>
      <c r="I15" s="64"/>
      <c r="J15" s="65"/>
      <c r="K15" s="65"/>
      <c r="L15" s="65"/>
      <c r="M15" s="65"/>
      <c r="N15" s="65"/>
      <c r="O15" s="65"/>
      <c r="P15" s="65"/>
    </row>
    <row r="16" spans="1:18" x14ac:dyDescent="0.25">
      <c r="B16" s="37" t="s">
        <v>792</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853</v>
      </c>
      <c r="D17" s="64" t="s">
        <v>854</v>
      </c>
      <c r="E17" s="64" t="s">
        <v>855</v>
      </c>
      <c r="F17" s="64" t="s">
        <v>856</v>
      </c>
      <c r="G17" s="64" t="s">
        <v>857</v>
      </c>
      <c r="H17" s="64" t="s">
        <v>858</v>
      </c>
      <c r="I17" s="64" t="s">
        <v>859</v>
      </c>
      <c r="J17" s="65" t="s">
        <v>860</v>
      </c>
      <c r="K17" s="65" t="s">
        <v>861</v>
      </c>
      <c r="L17" s="65" t="s">
        <v>862</v>
      </c>
      <c r="M17" s="65" t="s">
        <v>863</v>
      </c>
      <c r="N17" s="65" t="s">
        <v>864</v>
      </c>
      <c r="O17" s="65" t="s">
        <v>865</v>
      </c>
      <c r="P17" s="65" t="s">
        <v>866</v>
      </c>
    </row>
    <row r="18" spans="2:16" x14ac:dyDescent="0.25">
      <c r="B18" s="37" t="s">
        <v>807</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867</v>
      </c>
      <c r="D19" s="64" t="s">
        <v>868</v>
      </c>
      <c r="E19" s="64" t="s">
        <v>869</v>
      </c>
      <c r="F19" s="64" t="s">
        <v>870</v>
      </c>
      <c r="G19" s="64" t="s">
        <v>871</v>
      </c>
      <c r="H19" s="64" t="s">
        <v>872</v>
      </c>
      <c r="I19" s="64" t="s">
        <v>873</v>
      </c>
      <c r="J19" s="65" t="s">
        <v>874</v>
      </c>
      <c r="K19" s="65" t="s">
        <v>875</v>
      </c>
      <c r="L19" s="65" t="s">
        <v>876</v>
      </c>
      <c r="M19" s="65" t="s">
        <v>877</v>
      </c>
      <c r="N19" s="65" t="s">
        <v>878</v>
      </c>
      <c r="O19" s="65" t="s">
        <v>879</v>
      </c>
      <c r="P19" s="65" t="s">
        <v>880</v>
      </c>
    </row>
    <row r="20" spans="2:16" x14ac:dyDescent="0.25">
      <c r="B20" s="37" t="s">
        <v>822</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881</v>
      </c>
      <c r="D21" s="64" t="s">
        <v>882</v>
      </c>
      <c r="E21" s="64" t="s">
        <v>883</v>
      </c>
      <c r="F21" s="64" t="s">
        <v>884</v>
      </c>
      <c r="G21" s="64" t="s">
        <v>885</v>
      </c>
      <c r="H21" s="64" t="s">
        <v>886</v>
      </c>
      <c r="I21" s="64" t="s">
        <v>887</v>
      </c>
      <c r="J21" s="65" t="s">
        <v>888</v>
      </c>
      <c r="K21" s="65" t="s">
        <v>889</v>
      </c>
      <c r="L21" s="65" t="s">
        <v>890</v>
      </c>
      <c r="M21" s="65" t="s">
        <v>891</v>
      </c>
      <c r="N21" s="65" t="s">
        <v>892</v>
      </c>
      <c r="O21" s="65" t="s">
        <v>893</v>
      </c>
      <c r="P21" s="65" t="s">
        <v>894</v>
      </c>
    </row>
    <row r="22" spans="2:16" x14ac:dyDescent="0.25">
      <c r="B22" s="37" t="s">
        <v>837</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895</v>
      </c>
      <c r="D23" s="64" t="s">
        <v>896</v>
      </c>
      <c r="E23" s="64" t="s">
        <v>897</v>
      </c>
      <c r="F23" s="64" t="s">
        <v>898</v>
      </c>
      <c r="G23" s="64" t="s">
        <v>899</v>
      </c>
      <c r="H23" s="64" t="s">
        <v>900</v>
      </c>
      <c r="I23" s="64" t="s">
        <v>901</v>
      </c>
      <c r="J23" s="65" t="s">
        <v>902</v>
      </c>
      <c r="K23" s="65" t="s">
        <v>903</v>
      </c>
      <c r="L23" s="65" t="s">
        <v>904</v>
      </c>
      <c r="M23" s="65" t="s">
        <v>905</v>
      </c>
      <c r="N23" s="65" t="s">
        <v>906</v>
      </c>
      <c r="O23" s="65" t="s">
        <v>907</v>
      </c>
      <c r="P23" s="65" t="s">
        <v>908</v>
      </c>
    </row>
    <row r="24" spans="2:16" x14ac:dyDescent="0.25">
      <c r="B24" s="37" t="s">
        <v>909</v>
      </c>
      <c r="C24" s="64"/>
      <c r="D24" s="64"/>
      <c r="E24" s="64"/>
      <c r="F24" s="64"/>
      <c r="G24" s="64"/>
      <c r="H24" s="64"/>
      <c r="I24" s="64"/>
      <c r="J24" s="65"/>
      <c r="K24" s="65"/>
      <c r="L24" s="65"/>
      <c r="M24" s="65"/>
      <c r="N24" s="65"/>
      <c r="O24" s="65"/>
      <c r="P24" s="65"/>
    </row>
    <row r="25" spans="2:16" x14ac:dyDescent="0.25">
      <c r="B25" s="37" t="s">
        <v>792</v>
      </c>
      <c r="C25" s="64">
        <v>5.83</v>
      </c>
      <c r="D25" s="64">
        <v>3.82</v>
      </c>
      <c r="E25" s="64" t="s">
        <v>912</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910</v>
      </c>
      <c r="D26" s="64" t="s">
        <v>911</v>
      </c>
      <c r="E26" s="64"/>
      <c r="F26" s="64" t="s">
        <v>913</v>
      </c>
      <c r="G26" s="64" t="s">
        <v>914</v>
      </c>
      <c r="H26" s="64" t="s">
        <v>915</v>
      </c>
      <c r="I26" s="64" t="s">
        <v>916</v>
      </c>
      <c r="J26" s="65" t="s">
        <v>917</v>
      </c>
      <c r="K26" s="65" t="s">
        <v>918</v>
      </c>
      <c r="L26" s="65" t="s">
        <v>919</v>
      </c>
      <c r="M26" s="65" t="s">
        <v>920</v>
      </c>
      <c r="N26" s="65" t="s">
        <v>921</v>
      </c>
      <c r="O26" s="65" t="s">
        <v>922</v>
      </c>
      <c r="P26" s="65" t="s">
        <v>923</v>
      </c>
    </row>
    <row r="27" spans="2:16" x14ac:dyDescent="0.25">
      <c r="B27" s="37" t="s">
        <v>807</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924</v>
      </c>
      <c r="D28" s="64" t="s">
        <v>925</v>
      </c>
      <c r="E28" s="64" t="s">
        <v>926</v>
      </c>
      <c r="F28" s="64" t="s">
        <v>927</v>
      </c>
      <c r="G28" s="64" t="s">
        <v>928</v>
      </c>
      <c r="H28" s="64" t="s">
        <v>929</v>
      </c>
      <c r="I28" s="64" t="s">
        <v>930</v>
      </c>
      <c r="J28" s="65" t="s">
        <v>931</v>
      </c>
      <c r="K28" s="65" t="s">
        <v>932</v>
      </c>
      <c r="L28" s="65" t="s">
        <v>933</v>
      </c>
      <c r="M28" s="65" t="s">
        <v>934</v>
      </c>
      <c r="N28" s="65" t="s">
        <v>935</v>
      </c>
      <c r="O28" s="65" t="s">
        <v>936</v>
      </c>
      <c r="P28" s="65" t="s">
        <v>937</v>
      </c>
    </row>
    <row r="29" spans="2:16" x14ac:dyDescent="0.25">
      <c r="B29" s="37" t="s">
        <v>822</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938</v>
      </c>
      <c r="D30" s="64" t="s">
        <v>939</v>
      </c>
      <c r="E30" s="64" t="s">
        <v>940</v>
      </c>
      <c r="F30" s="64" t="s">
        <v>941</v>
      </c>
      <c r="G30" s="64" t="s">
        <v>942</v>
      </c>
      <c r="H30" s="64" t="s">
        <v>943</v>
      </c>
      <c r="I30" s="64" t="s">
        <v>944</v>
      </c>
      <c r="J30" s="65" t="s">
        <v>945</v>
      </c>
      <c r="K30" s="65" t="s">
        <v>946</v>
      </c>
      <c r="L30" s="65" t="s">
        <v>947</v>
      </c>
      <c r="M30" s="65" t="s">
        <v>948</v>
      </c>
      <c r="N30" s="65" t="s">
        <v>949</v>
      </c>
      <c r="O30" s="65" t="s">
        <v>950</v>
      </c>
      <c r="P30" s="65" t="s">
        <v>951</v>
      </c>
    </row>
    <row r="31" spans="2:16" x14ac:dyDescent="0.25">
      <c r="B31" s="37" t="s">
        <v>837</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952</v>
      </c>
      <c r="D32" s="64" t="s">
        <v>953</v>
      </c>
      <c r="E32" s="64" t="s">
        <v>932</v>
      </c>
      <c r="F32" s="64" t="s">
        <v>954</v>
      </c>
      <c r="G32" s="64" t="s">
        <v>955</v>
      </c>
      <c r="H32" s="64" t="s">
        <v>956</v>
      </c>
      <c r="I32" s="64" t="s">
        <v>957</v>
      </c>
      <c r="J32" s="65" t="s">
        <v>958</v>
      </c>
      <c r="K32" s="65" t="s">
        <v>959</v>
      </c>
      <c r="L32" s="65" t="s">
        <v>960</v>
      </c>
      <c r="M32" s="65" t="s">
        <v>961</v>
      </c>
      <c r="N32" s="65" t="s">
        <v>962</v>
      </c>
      <c r="O32" s="65" t="s">
        <v>963</v>
      </c>
      <c r="P32" s="65" t="s">
        <v>964</v>
      </c>
    </row>
    <row r="34" spans="1:6" x14ac:dyDescent="0.25">
      <c r="B34" t="s">
        <v>1235</v>
      </c>
    </row>
    <row r="35" spans="1:6" x14ac:dyDescent="0.25">
      <c r="C35" t="s">
        <v>456</v>
      </c>
      <c r="D35" t="s">
        <v>455</v>
      </c>
      <c r="E35" t="s">
        <v>790</v>
      </c>
      <c r="F35" t="s">
        <v>673</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551</v>
      </c>
      <c r="C37">
        <f>AVERAGE(E9,L9)/100</f>
        <v>9.6349999999999991E-2</v>
      </c>
      <c r="D37">
        <f>AVERAGE(F9,M9)/100</f>
        <v>6.1099999999999995E-2</v>
      </c>
      <c r="E37">
        <f>AVERAGE(H9,O9)/100</f>
        <v>5.5899999999999998E-2</v>
      </c>
      <c r="F37">
        <f>AVERAGE(I9,P9)/100</f>
        <v>5.5600000000000004E-2</v>
      </c>
    </row>
    <row r="38" spans="1:6" x14ac:dyDescent="0.25">
      <c r="B38" t="s">
        <v>578</v>
      </c>
      <c r="C38">
        <f>AVERAGE(E11,L11)/100</f>
        <v>0.10795</v>
      </c>
      <c r="D38">
        <f>AVERAGE(F11,M11)/100</f>
        <v>6.8499999999999991E-2</v>
      </c>
      <c r="E38">
        <f>AVERAGE(H11,O11)/100</f>
        <v>6.2650000000000011E-2</v>
      </c>
      <c r="F38">
        <f>AVERAGE(I11,P11)/100</f>
        <v>6.2300000000000001E-2</v>
      </c>
    </row>
    <row r="39" spans="1:6" x14ac:dyDescent="0.25">
      <c r="B39" t="s">
        <v>967</v>
      </c>
      <c r="C39">
        <f>AVERAGE(E13,L13)/100</f>
        <v>0.14510000000000001</v>
      </c>
      <c r="D39">
        <f>AVERAGE(F13,M13)/100</f>
        <v>9.2050000000000007E-2</v>
      </c>
      <c r="E39">
        <f>AVERAGE(H13,O13)/100</f>
        <v>8.4199999999999997E-2</v>
      </c>
      <c r="F39">
        <f>AVERAGE(I13,P13)/100</f>
        <v>8.3700000000000011E-2</v>
      </c>
    </row>
    <row r="41" spans="1:6" x14ac:dyDescent="0.25">
      <c r="A41" s="2" t="s">
        <v>970</v>
      </c>
    </row>
    <row r="42" spans="1:6" x14ac:dyDescent="0.25">
      <c r="B42" t="s">
        <v>969</v>
      </c>
    </row>
    <row r="43" spans="1:6" x14ac:dyDescent="0.25">
      <c r="B43" t="s">
        <v>968</v>
      </c>
    </row>
    <row r="45" spans="1:6" x14ac:dyDescent="0.25">
      <c r="A45" s="2" t="s">
        <v>971</v>
      </c>
    </row>
    <row r="46" spans="1:6" x14ac:dyDescent="0.25">
      <c r="B46" t="s">
        <v>972</v>
      </c>
    </row>
    <row r="47" spans="1:6" x14ac:dyDescent="0.25">
      <c r="C47" t="s">
        <v>976</v>
      </c>
      <c r="D47" t="s">
        <v>977</v>
      </c>
      <c r="E47" t="s">
        <v>978</v>
      </c>
    </row>
    <row r="48" spans="1:6" x14ac:dyDescent="0.25">
      <c r="B48" t="s">
        <v>537</v>
      </c>
      <c r="C48">
        <f>18.8/1000</f>
        <v>1.8800000000000001E-2</v>
      </c>
      <c r="D48">
        <v>0.185</v>
      </c>
      <c r="E48">
        <f>D48*C48</f>
        <v>3.4780000000000002E-3</v>
      </c>
    </row>
    <row r="49" spans="1:8" x14ac:dyDescent="0.25">
      <c r="B49" t="s">
        <v>973</v>
      </c>
      <c r="C49">
        <f>32.68/1000</f>
        <v>3.2680000000000001E-2</v>
      </c>
      <c r="D49">
        <v>0.25679999999999997</v>
      </c>
      <c r="E49">
        <f>D49*C49</f>
        <v>8.3922239999999985E-3</v>
      </c>
    </row>
    <row r="50" spans="1:8" x14ac:dyDescent="0.25">
      <c r="B50" t="s">
        <v>974</v>
      </c>
      <c r="C50">
        <f>44.06/1000</f>
        <v>4.4060000000000002E-2</v>
      </c>
      <c r="D50">
        <v>0.1125</v>
      </c>
      <c r="E50">
        <f>D50*C50</f>
        <v>4.9567500000000002E-3</v>
      </c>
    </row>
    <row r="51" spans="1:8" x14ac:dyDescent="0.25">
      <c r="B51" t="s">
        <v>975</v>
      </c>
      <c r="C51">
        <f>50.18/1000</f>
        <v>5.0180000000000002E-2</v>
      </c>
      <c r="D51">
        <v>2.5999999999999999E-2</v>
      </c>
      <c r="E51">
        <f>D51*C51</f>
        <v>1.3046799999999999E-3</v>
      </c>
    </row>
    <row r="52" spans="1:8" x14ac:dyDescent="0.25">
      <c r="B52" t="s">
        <v>328</v>
      </c>
      <c r="C52">
        <f>152.82/1000</f>
        <v>0.15281999999999998</v>
      </c>
    </row>
    <row r="61" spans="1:8" x14ac:dyDescent="0.25">
      <c r="A61" s="2" t="s">
        <v>979</v>
      </c>
    </row>
    <row r="62" spans="1:8" x14ac:dyDescent="0.25">
      <c r="B62" t="s">
        <v>1016</v>
      </c>
    </row>
    <row r="63" spans="1:8" x14ac:dyDescent="0.25">
      <c r="B63" t="s">
        <v>472</v>
      </c>
      <c r="C63" t="s">
        <v>997</v>
      </c>
      <c r="D63" t="s">
        <v>998</v>
      </c>
    </row>
    <row r="64" spans="1:8" x14ac:dyDescent="0.25">
      <c r="A64" t="s">
        <v>992</v>
      </c>
      <c r="B64">
        <v>7.47</v>
      </c>
      <c r="C64">
        <v>4.67</v>
      </c>
      <c r="D64">
        <v>1.8</v>
      </c>
      <c r="F64">
        <f>B64/1000</f>
        <v>7.4700000000000001E-3</v>
      </c>
      <c r="G64" s="37">
        <f t="shared" ref="G64:H64" si="0">C64/1000</f>
        <v>4.6699999999999997E-3</v>
      </c>
      <c r="H64" s="37">
        <f t="shared" si="0"/>
        <v>1.8E-3</v>
      </c>
    </row>
    <row r="65" spans="1:11" x14ac:dyDescent="0.25">
      <c r="A65" s="35" t="s">
        <v>993</v>
      </c>
      <c r="B65">
        <v>5.4</v>
      </c>
      <c r="C65">
        <v>1.3</v>
      </c>
      <c r="D65">
        <v>0.48</v>
      </c>
      <c r="F65" s="37">
        <f t="shared" ref="F65:F69" si="1">B65/1000</f>
        <v>5.4000000000000003E-3</v>
      </c>
      <c r="G65" s="37">
        <f t="shared" ref="G65:G69" si="2">C65/1000</f>
        <v>1.2999999999999999E-3</v>
      </c>
      <c r="H65" s="37">
        <f t="shared" ref="H65:H69" si="3">D65/1000</f>
        <v>4.7999999999999996E-4</v>
      </c>
    </row>
    <row r="66" spans="1:11" x14ac:dyDescent="0.25">
      <c r="A66" s="40" t="s">
        <v>980</v>
      </c>
      <c r="B66">
        <v>0.4</v>
      </c>
      <c r="C66">
        <v>0.17</v>
      </c>
      <c r="D66">
        <v>0.2</v>
      </c>
      <c r="F66" s="37">
        <f t="shared" si="1"/>
        <v>4.0000000000000002E-4</v>
      </c>
      <c r="G66" s="37">
        <f t="shared" si="2"/>
        <v>1.7000000000000001E-4</v>
      </c>
      <c r="H66" s="37">
        <f t="shared" si="3"/>
        <v>2.0000000000000001E-4</v>
      </c>
    </row>
    <row r="67" spans="1:11" x14ac:dyDescent="0.25">
      <c r="A67" s="40" t="s">
        <v>994</v>
      </c>
      <c r="B67">
        <v>3.65</v>
      </c>
      <c r="C67">
        <v>0.93</v>
      </c>
      <c r="D67">
        <v>0.65</v>
      </c>
      <c r="F67" s="37">
        <f t="shared" si="1"/>
        <v>3.65E-3</v>
      </c>
      <c r="G67" s="37">
        <f t="shared" si="2"/>
        <v>9.3000000000000005E-4</v>
      </c>
      <c r="H67" s="37">
        <f t="shared" si="3"/>
        <v>6.4999999999999997E-4</v>
      </c>
    </row>
    <row r="68" spans="1:11" x14ac:dyDescent="0.25">
      <c r="A68" s="40" t="s">
        <v>995</v>
      </c>
      <c r="B68">
        <v>4.5599999999999996</v>
      </c>
      <c r="C68">
        <v>1.79</v>
      </c>
      <c r="D68">
        <v>1.52</v>
      </c>
      <c r="F68" s="37">
        <f t="shared" si="1"/>
        <v>4.5599999999999998E-3</v>
      </c>
      <c r="G68" s="37">
        <f t="shared" si="2"/>
        <v>1.7900000000000001E-3</v>
      </c>
      <c r="H68" s="37">
        <f t="shared" si="3"/>
        <v>1.5200000000000001E-3</v>
      </c>
    </row>
    <row r="69" spans="1:11" x14ac:dyDescent="0.25">
      <c r="A69" s="40" t="s">
        <v>996</v>
      </c>
      <c r="B69">
        <v>1.98</v>
      </c>
      <c r="C69">
        <v>0.77</v>
      </c>
      <c r="D69">
        <v>1.54</v>
      </c>
      <c r="F69" s="37">
        <f t="shared" si="1"/>
        <v>1.98E-3</v>
      </c>
      <c r="G69" s="37">
        <f t="shared" si="2"/>
        <v>7.7000000000000007E-4</v>
      </c>
      <c r="H69" s="37">
        <f t="shared" si="3"/>
        <v>1.5400000000000001E-3</v>
      </c>
    </row>
    <row r="71" spans="1:11" x14ac:dyDescent="0.25">
      <c r="A71" s="2" t="s">
        <v>1236</v>
      </c>
    </row>
    <row r="72" spans="1:11" x14ac:dyDescent="0.25">
      <c r="B72" t="s">
        <v>1241</v>
      </c>
    </row>
    <row r="73" spans="1:11" x14ac:dyDescent="0.25">
      <c r="C73" t="s">
        <v>1242</v>
      </c>
    </row>
    <row r="74" spans="1:11" x14ac:dyDescent="0.25">
      <c r="B74" t="s">
        <v>196</v>
      </c>
      <c r="C74" t="s">
        <v>562</v>
      </c>
      <c r="D74" t="s">
        <v>1237</v>
      </c>
      <c r="E74" t="s">
        <v>1238</v>
      </c>
      <c r="F74" t="s">
        <v>1239</v>
      </c>
      <c r="I74" t="s">
        <v>1240</v>
      </c>
      <c r="J74" t="s">
        <v>1243</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4">D76/C76</f>
        <v>2.3529411764705883</v>
      </c>
      <c r="J76" s="37">
        <f t="shared" ref="J76:J81" si="5">(D76-C76)/1000</f>
        <v>9.1999999999999998E-3</v>
      </c>
      <c r="K76" s="37"/>
    </row>
    <row r="77" spans="1:11" x14ac:dyDescent="0.25">
      <c r="B77" s="37">
        <v>2013</v>
      </c>
      <c r="C77">
        <v>5.3</v>
      </c>
      <c r="D77">
        <v>14.3</v>
      </c>
      <c r="E77">
        <v>22.3</v>
      </c>
      <c r="F77">
        <v>28.6</v>
      </c>
      <c r="I77" s="8">
        <f t="shared" si="4"/>
        <v>2.6981132075471699</v>
      </c>
      <c r="J77" s="37">
        <f t="shared" si="5"/>
        <v>8.9999999999999993E-3</v>
      </c>
      <c r="K77" s="37"/>
    </row>
    <row r="78" spans="1:11" x14ac:dyDescent="0.25">
      <c r="B78" s="37">
        <v>2014</v>
      </c>
      <c r="C78">
        <v>6.4</v>
      </c>
      <c r="D78">
        <v>15.8</v>
      </c>
      <c r="E78">
        <v>21.7</v>
      </c>
      <c r="F78">
        <v>27.2</v>
      </c>
      <c r="I78" s="8">
        <f t="shared" si="4"/>
        <v>2.46875</v>
      </c>
      <c r="J78" s="37">
        <f t="shared" si="5"/>
        <v>9.4000000000000004E-3</v>
      </c>
      <c r="K78" s="37"/>
    </row>
    <row r="79" spans="1:11" x14ac:dyDescent="0.25">
      <c r="B79" s="37">
        <v>2015</v>
      </c>
      <c r="C79">
        <v>5.2</v>
      </c>
      <c r="D79">
        <v>15.2</v>
      </c>
      <c r="E79">
        <v>23.9</v>
      </c>
      <c r="F79">
        <v>33.299999999999997</v>
      </c>
      <c r="I79" s="8">
        <f t="shared" si="4"/>
        <v>2.9230769230769229</v>
      </c>
      <c r="J79" s="37">
        <f t="shared" si="5"/>
        <v>0.01</v>
      </c>
      <c r="K79" s="37"/>
    </row>
    <row r="80" spans="1:11" x14ac:dyDescent="0.25">
      <c r="B80" s="37">
        <v>2016</v>
      </c>
      <c r="C80">
        <v>5.4</v>
      </c>
      <c r="D80">
        <v>16.100000000000001</v>
      </c>
      <c r="E80">
        <v>15.9</v>
      </c>
      <c r="F80">
        <v>15.7</v>
      </c>
      <c r="I80" s="8">
        <f t="shared" si="4"/>
        <v>2.9814814814814814</v>
      </c>
      <c r="J80" s="37">
        <f t="shared" si="5"/>
        <v>1.0700000000000001E-2</v>
      </c>
      <c r="K80" s="37"/>
    </row>
    <row r="81" spans="2:11" x14ac:dyDescent="0.25">
      <c r="B81" t="s">
        <v>646</v>
      </c>
      <c r="C81">
        <v>5.7</v>
      </c>
      <c r="D81">
        <v>16.3</v>
      </c>
      <c r="E81" s="8">
        <v>24</v>
      </c>
      <c r="F81">
        <v>30.1</v>
      </c>
      <c r="I81" s="8">
        <f t="shared" si="4"/>
        <v>2.8596491228070176</v>
      </c>
      <c r="J81" s="37">
        <f t="shared" si="5"/>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533</v>
      </c>
      <c r="F1" s="21"/>
      <c r="G1" s="4"/>
      <c r="H1" s="4"/>
      <c r="K1" s="4"/>
      <c r="L1" s="4"/>
    </row>
    <row r="2" spans="1:16" x14ac:dyDescent="0.25">
      <c r="B2" t="s">
        <v>534</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1126</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1103</v>
      </c>
    </row>
    <row r="15" spans="1:16" x14ac:dyDescent="0.25">
      <c r="B15" t="s">
        <v>153</v>
      </c>
      <c r="C15" t="s">
        <v>436</v>
      </c>
      <c r="D15" t="s">
        <v>435</v>
      </c>
      <c r="E15" t="s">
        <v>437</v>
      </c>
      <c r="H15" t="s">
        <v>1104</v>
      </c>
    </row>
    <row r="16" spans="1:16" x14ac:dyDescent="0.25">
      <c r="B16" t="s">
        <v>434</v>
      </c>
      <c r="C16" s="18">
        <v>0.60499999999999998</v>
      </c>
      <c r="D16" s="18">
        <v>0.28399999999999997</v>
      </c>
      <c r="E16" s="18">
        <v>0.111</v>
      </c>
      <c r="H16" t="s">
        <v>1098</v>
      </c>
      <c r="I16">
        <v>329000</v>
      </c>
      <c r="J16" s="12"/>
    </row>
    <row r="17" spans="1:9" x14ac:dyDescent="0.25">
      <c r="B17" t="s">
        <v>438</v>
      </c>
      <c r="C17" s="18">
        <v>0.45900000000000002</v>
      </c>
      <c r="D17" s="18">
        <v>0.39300000000000002</v>
      </c>
      <c r="E17" s="18">
        <v>0.14799999999999999</v>
      </c>
      <c r="H17" t="s">
        <v>1099</v>
      </c>
      <c r="I17">
        <v>157000</v>
      </c>
    </row>
    <row r="18" spans="1:9" x14ac:dyDescent="0.25">
      <c r="H18" t="s">
        <v>1100</v>
      </c>
      <c r="I18">
        <f>I17/I16</f>
        <v>0.47720364741641336</v>
      </c>
    </row>
    <row r="19" spans="1:9" x14ac:dyDescent="0.25">
      <c r="B19" t="s">
        <v>1092</v>
      </c>
      <c r="H19" t="s">
        <v>1101</v>
      </c>
      <c r="I19">
        <v>122000</v>
      </c>
    </row>
    <row r="20" spans="1:9" x14ac:dyDescent="0.25">
      <c r="B20" t="s">
        <v>442</v>
      </c>
      <c r="C20" s="18">
        <v>0.754</v>
      </c>
      <c r="H20" t="s">
        <v>1102</v>
      </c>
      <c r="I20">
        <f>I19/I17</f>
        <v>0.77707006369426757</v>
      </c>
    </row>
    <row r="21" spans="1:9" x14ac:dyDescent="0.25">
      <c r="B21" t="s">
        <v>443</v>
      </c>
      <c r="C21" s="18">
        <v>0.246</v>
      </c>
    </row>
    <row r="23" spans="1:9" s="37" customFormat="1" x14ac:dyDescent="0.25">
      <c r="C23" s="18"/>
    </row>
    <row r="24" spans="1:9" s="37" customFormat="1" x14ac:dyDescent="0.25">
      <c r="A24" s="2" t="s">
        <v>1127</v>
      </c>
      <c r="C24" s="18"/>
    </row>
    <row r="25" spans="1:9" s="37" customFormat="1" x14ac:dyDescent="0.25">
      <c r="B25" s="37" t="s">
        <v>1176</v>
      </c>
      <c r="C25" s="18" t="s">
        <v>1128</v>
      </c>
      <c r="D25" s="37" t="s">
        <v>1129</v>
      </c>
      <c r="E25" s="37" t="s">
        <v>1130</v>
      </c>
      <c r="F25" s="37" t="s">
        <v>1177</v>
      </c>
      <c r="G25" s="18" t="s">
        <v>1128</v>
      </c>
      <c r="H25" s="37" t="s">
        <v>1178</v>
      </c>
      <c r="I25" s="37" t="s">
        <v>1130</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 t="shared" ref="E28:E31" si="0">C28/D28*100</f>
        <v>31.39083758325436</v>
      </c>
      <c r="F28" s="37">
        <v>2010</v>
      </c>
      <c r="G28" s="4">
        <v>396525</v>
      </c>
      <c r="H28" s="4">
        <v>1262116</v>
      </c>
      <c r="I28" s="7">
        <f t="shared" ref="I28:I31" si="1">G28/H28*100</f>
        <v>31.417476682016549</v>
      </c>
    </row>
    <row r="29" spans="1:9" s="37" customFormat="1" x14ac:dyDescent="0.25">
      <c r="B29" s="37">
        <v>2011</v>
      </c>
      <c r="C29" s="16">
        <v>538983</v>
      </c>
      <c r="D29" s="4">
        <v>1525851</v>
      </c>
      <c r="E29" s="7">
        <f t="shared" si="0"/>
        <v>35.323435905602842</v>
      </c>
      <c r="F29" s="37">
        <v>2011</v>
      </c>
      <c r="G29" s="4">
        <v>490437</v>
      </c>
      <c r="H29" s="4">
        <v>1310147</v>
      </c>
      <c r="I29" s="7">
        <f t="shared" si="1"/>
        <v>37.433738351497965</v>
      </c>
    </row>
    <row r="30" spans="1:9" s="37" customFormat="1" x14ac:dyDescent="0.25">
      <c r="B30" s="37">
        <v>2012</v>
      </c>
      <c r="C30" s="16">
        <v>604000</v>
      </c>
      <c r="D30" s="4">
        <v>1560446</v>
      </c>
      <c r="E30" s="7">
        <f t="shared" si="0"/>
        <v>38.706882519484815</v>
      </c>
      <c r="F30" s="37">
        <v>2012</v>
      </c>
      <c r="G30" s="4">
        <v>548561</v>
      </c>
      <c r="H30" s="4">
        <v>1356540</v>
      </c>
      <c r="I30" s="7">
        <f t="shared" si="1"/>
        <v>40.438247305645241</v>
      </c>
    </row>
    <row r="31" spans="1:9" s="37" customFormat="1" x14ac:dyDescent="0.25">
      <c r="B31" s="37">
        <v>2013</v>
      </c>
      <c r="C31" s="4">
        <v>656359</v>
      </c>
      <c r="D31" s="4">
        <v>1592342</v>
      </c>
      <c r="E31" s="7">
        <f t="shared" si="0"/>
        <v>41.219725410747188</v>
      </c>
      <c r="F31" s="37">
        <v>2013</v>
      </c>
      <c r="G31" s="4">
        <v>596228</v>
      </c>
      <c r="H31" s="4">
        <v>1402212</v>
      </c>
      <c r="I31" s="7">
        <f t="shared" si="1"/>
        <v>42.520531845398558</v>
      </c>
    </row>
    <row r="32" spans="1:9" s="37" customFormat="1" x14ac:dyDescent="0.25">
      <c r="C32" s="16"/>
    </row>
    <row r="33" spans="1:26" x14ac:dyDescent="0.25">
      <c r="A33" s="2" t="s">
        <v>470</v>
      </c>
      <c r="W33" s="37"/>
      <c r="X33" s="37"/>
      <c r="Y33" s="37"/>
      <c r="Z33" s="4"/>
    </row>
    <row r="34" spans="1:26" x14ac:dyDescent="0.25">
      <c r="C34" s="81">
        <v>2015</v>
      </c>
      <c r="D34" s="81"/>
      <c r="E34" s="81"/>
      <c r="F34" s="23">
        <v>2015</v>
      </c>
      <c r="G34" s="23"/>
      <c r="I34" s="23">
        <v>2013</v>
      </c>
      <c r="L34" s="23"/>
      <c r="M34" s="23"/>
      <c r="W34" s="37"/>
      <c r="X34" s="37"/>
      <c r="Y34" s="37"/>
      <c r="Z34" s="4"/>
    </row>
    <row r="35" spans="1:26" x14ac:dyDescent="0.25">
      <c r="C35" t="s">
        <v>475</v>
      </c>
      <c r="D35" t="s">
        <v>476</v>
      </c>
      <c r="E35" t="s">
        <v>477</v>
      </c>
      <c r="F35" s="21" t="s">
        <v>478</v>
      </c>
      <c r="G35" s="21" t="s">
        <v>1137</v>
      </c>
      <c r="I35" t="s">
        <v>1129</v>
      </c>
      <c r="J35" t="s">
        <v>478</v>
      </c>
      <c r="K35" t="s">
        <v>479</v>
      </c>
      <c r="L35" t="s">
        <v>1137</v>
      </c>
      <c r="M35" t="s">
        <v>1138</v>
      </c>
      <c r="V35" s="37"/>
      <c r="W35" s="37"/>
      <c r="X35" s="37"/>
      <c r="Y35" s="4"/>
    </row>
    <row r="36" spans="1:26" x14ac:dyDescent="0.25">
      <c r="B36" t="s">
        <v>471</v>
      </c>
      <c r="C36" s="4">
        <v>85807</v>
      </c>
      <c r="D36" s="4">
        <v>158077</v>
      </c>
      <c r="E36" s="7">
        <f t="shared" ref="E36:E42" si="2">C36/D36</f>
        <v>0.54281774072129407</v>
      </c>
      <c r="F36" s="4">
        <v>135039</v>
      </c>
      <c r="G36" s="7">
        <f t="shared" ref="G36:G42" si="3">C36/F36</f>
        <v>0.635423840520146</v>
      </c>
      <c r="J36" s="4">
        <v>86072</v>
      </c>
      <c r="K36" s="4">
        <v>56069</v>
      </c>
      <c r="L36" s="7">
        <f>K36/J36</f>
        <v>0.65141974161167393</v>
      </c>
      <c r="V36" s="37"/>
      <c r="W36" s="37"/>
      <c r="X36" s="37"/>
      <c r="Y36" s="4"/>
    </row>
    <row r="37" spans="1:26" x14ac:dyDescent="0.25">
      <c r="B37" t="s">
        <v>472</v>
      </c>
      <c r="C37" s="4">
        <v>83847</v>
      </c>
      <c r="D37" s="4">
        <v>144303</v>
      </c>
      <c r="E37" s="7">
        <f t="shared" si="2"/>
        <v>0.58104821105590321</v>
      </c>
      <c r="F37" s="4">
        <v>123273</v>
      </c>
      <c r="G37" s="7">
        <f t="shared" si="3"/>
        <v>0.6801732739529337</v>
      </c>
      <c r="J37" s="4">
        <v>72543</v>
      </c>
      <c r="K37" s="4">
        <v>69161</v>
      </c>
      <c r="L37" s="7">
        <f t="shared" ref="L37:L42" si="4">K37/J37</f>
        <v>0.95337937499138437</v>
      </c>
      <c r="V37" s="37"/>
      <c r="W37" s="37"/>
      <c r="X37" s="37"/>
      <c r="Y37" s="4"/>
    </row>
    <row r="38" spans="1:26" x14ac:dyDescent="0.25">
      <c r="B38" t="s">
        <v>473</v>
      </c>
      <c r="C38" s="4">
        <v>68704</v>
      </c>
      <c r="D38" s="4">
        <v>126411</v>
      </c>
      <c r="E38" s="7">
        <f t="shared" si="2"/>
        <v>0.54349700579854598</v>
      </c>
      <c r="F38" s="4">
        <v>107988</v>
      </c>
      <c r="G38" s="7">
        <f t="shared" si="3"/>
        <v>0.63621883913027377</v>
      </c>
      <c r="J38" s="4">
        <v>69176</v>
      </c>
      <c r="K38" s="4">
        <v>51698</v>
      </c>
      <c r="L38" s="7">
        <f t="shared" si="4"/>
        <v>0.74734011795998612</v>
      </c>
      <c r="V38" s="37"/>
      <c r="W38" s="37"/>
      <c r="X38" s="37"/>
      <c r="Y38" s="4"/>
    </row>
    <row r="39" spans="1:26" x14ac:dyDescent="0.25">
      <c r="B39" t="s">
        <v>474</v>
      </c>
      <c r="C39" s="4">
        <v>54927</v>
      </c>
      <c r="D39" s="4">
        <v>83603</v>
      </c>
      <c r="E39" s="7">
        <f t="shared" si="2"/>
        <v>0.65699795461885335</v>
      </c>
      <c r="F39" s="4">
        <v>71419</v>
      </c>
      <c r="G39" s="7">
        <f t="shared" si="3"/>
        <v>0.76908105686161943</v>
      </c>
      <c r="J39" s="4">
        <v>47566</v>
      </c>
      <c r="K39" s="4">
        <v>38063</v>
      </c>
      <c r="L39" s="7">
        <f t="shared" si="4"/>
        <v>0.80021443888491783</v>
      </c>
      <c r="V39" s="37"/>
      <c r="W39" s="37"/>
      <c r="X39" s="37"/>
      <c r="Y39" s="4"/>
    </row>
    <row r="40" spans="1:26" x14ac:dyDescent="0.25">
      <c r="B40" t="s">
        <v>480</v>
      </c>
      <c r="C40" s="4">
        <v>23189</v>
      </c>
      <c r="D40" s="4">
        <v>34014</v>
      </c>
      <c r="E40" s="7">
        <f t="shared" si="2"/>
        <v>0.68174869171517616</v>
      </c>
      <c r="F40" s="4">
        <v>29057</v>
      </c>
      <c r="G40" s="7">
        <f t="shared" si="3"/>
        <v>0.79805210448428954</v>
      </c>
      <c r="J40" s="4">
        <v>34282</v>
      </c>
      <c r="K40" s="4">
        <v>14798</v>
      </c>
      <c r="L40" s="7">
        <f t="shared" si="4"/>
        <v>0.43165509596872992</v>
      </c>
      <c r="V40" s="37"/>
      <c r="W40" s="37"/>
      <c r="X40" s="37"/>
      <c r="Y40" s="4"/>
    </row>
    <row r="41" spans="1:26" ht="15.75" thickBot="1" x14ac:dyDescent="0.3">
      <c r="B41" t="s">
        <v>481</v>
      </c>
      <c r="C41" s="4">
        <v>11561</v>
      </c>
      <c r="D41" s="4">
        <v>24357</v>
      </c>
      <c r="E41" s="7">
        <f t="shared" si="2"/>
        <v>0.47464794514923841</v>
      </c>
      <c r="F41" s="4">
        <v>20807</v>
      </c>
      <c r="G41" s="7">
        <f t="shared" si="3"/>
        <v>0.55563031672033447</v>
      </c>
      <c r="J41" s="4">
        <v>14386</v>
      </c>
      <c r="K41" s="21">
        <v>7858</v>
      </c>
      <c r="L41" s="7">
        <f t="shared" si="4"/>
        <v>0.54622549701098289</v>
      </c>
      <c r="V41" s="37"/>
      <c r="W41" s="37"/>
      <c r="X41" s="37"/>
      <c r="Y41" s="4"/>
    </row>
    <row r="42" spans="1:26" ht="15.75" thickBot="1" x14ac:dyDescent="0.3">
      <c r="B42" t="s">
        <v>144</v>
      </c>
      <c r="C42" s="4">
        <f>SUM(C36:C41)</f>
        <v>328035</v>
      </c>
      <c r="D42" s="61">
        <f>SUM(D36:D41)</f>
        <v>570765</v>
      </c>
      <c r="E42" s="62">
        <f t="shared" si="2"/>
        <v>0.57472865364905001</v>
      </c>
      <c r="F42" s="4">
        <f>SUM(F36:F41)</f>
        <v>487583</v>
      </c>
      <c r="G42" s="63">
        <f t="shared" si="3"/>
        <v>0.67277776296548486</v>
      </c>
      <c r="I42" s="4">
        <f>SUM(Population!E94:E100)*0.15</f>
        <v>362750.85</v>
      </c>
      <c r="J42" s="4">
        <f>SUM(J36:J41)</f>
        <v>324025</v>
      </c>
      <c r="K42" s="4">
        <f>SUM(K36:K41)</f>
        <v>237647</v>
      </c>
      <c r="L42" s="7">
        <f t="shared" si="4"/>
        <v>0.73342180387315792</v>
      </c>
      <c r="M42" s="62">
        <f>K42/I42</f>
        <v>0.65512458482178615</v>
      </c>
      <c r="V42" s="37"/>
      <c r="W42" s="37"/>
      <c r="X42" s="37"/>
      <c r="Y42" s="60"/>
    </row>
    <row r="43" spans="1:26" s="37" customFormat="1" x14ac:dyDescent="0.25">
      <c r="C43" s="4"/>
      <c r="D43" s="4"/>
      <c r="E43" s="7"/>
      <c r="G43" s="4"/>
      <c r="H43" s="4"/>
      <c r="I43" s="37" t="s">
        <v>1097</v>
      </c>
      <c r="K43" s="4"/>
      <c r="L43" s="4"/>
      <c r="M43" s="7"/>
    </row>
    <row r="44" spans="1:26" s="37" customFormat="1" x14ac:dyDescent="0.25">
      <c r="B44" s="37" t="s">
        <v>1139</v>
      </c>
      <c r="C44" s="40">
        <v>2013</v>
      </c>
      <c r="D44" s="26">
        <v>43.1</v>
      </c>
      <c r="E44" s="7" t="s">
        <v>1140</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1093</v>
      </c>
      <c r="C47" s="40"/>
      <c r="D47" s="4"/>
    </row>
    <row r="48" spans="1:26" s="37" customFormat="1" x14ac:dyDescent="0.25">
      <c r="A48" s="2"/>
      <c r="C48" s="40">
        <v>2017</v>
      </c>
      <c r="D48" s="4"/>
    </row>
    <row r="49" spans="1:12" s="37" customFormat="1" x14ac:dyDescent="0.25">
      <c r="C49" s="40" t="s">
        <v>1094</v>
      </c>
      <c r="D49" s="4" t="s">
        <v>1095</v>
      </c>
      <c r="E49" s="37" t="s">
        <v>1096</v>
      </c>
    </row>
    <row r="50" spans="1:12" s="37" customFormat="1" x14ac:dyDescent="0.25">
      <c r="B50" s="37" t="s">
        <v>471</v>
      </c>
      <c r="C50" s="40">
        <v>128199</v>
      </c>
      <c r="D50" s="4">
        <v>100677</v>
      </c>
      <c r="E50" s="7">
        <f t="shared" ref="E50:E56" si="5">D50/C50</f>
        <v>0.78531813820700624</v>
      </c>
    </row>
    <row r="51" spans="1:12" s="37" customFormat="1" x14ac:dyDescent="0.25">
      <c r="B51" s="37" t="s">
        <v>472</v>
      </c>
      <c r="C51" s="40">
        <v>112862</v>
      </c>
      <c r="D51" s="4">
        <v>101527</v>
      </c>
      <c r="E51" s="7">
        <f t="shared" si="5"/>
        <v>0.8995676135457461</v>
      </c>
    </row>
    <row r="52" spans="1:12" s="37" customFormat="1" x14ac:dyDescent="0.25">
      <c r="B52" s="37" t="s">
        <v>473</v>
      </c>
      <c r="C52" s="40">
        <v>113605</v>
      </c>
      <c r="D52" s="4">
        <v>80123</v>
      </c>
      <c r="E52" s="7">
        <f t="shared" si="5"/>
        <v>0.7052770564675851</v>
      </c>
    </row>
    <row r="53" spans="1:12" s="37" customFormat="1" x14ac:dyDescent="0.25">
      <c r="B53" s="37" t="s">
        <v>474</v>
      </c>
      <c r="C53" s="40">
        <v>79146</v>
      </c>
      <c r="D53" s="4">
        <v>65820</v>
      </c>
      <c r="E53" s="7">
        <f t="shared" si="5"/>
        <v>0.83162762489576225</v>
      </c>
    </row>
    <row r="54" spans="1:12" s="37" customFormat="1" x14ac:dyDescent="0.25">
      <c r="B54" s="37" t="s">
        <v>480</v>
      </c>
      <c r="C54" s="40">
        <v>34950</v>
      </c>
      <c r="D54" s="4">
        <v>27571</v>
      </c>
      <c r="E54" s="7">
        <f t="shared" si="5"/>
        <v>0.78886981402002865</v>
      </c>
    </row>
    <row r="55" spans="1:12" s="37" customFormat="1" x14ac:dyDescent="0.25">
      <c r="B55" s="37" t="s">
        <v>481</v>
      </c>
      <c r="C55" s="40">
        <v>17537</v>
      </c>
      <c r="D55" s="4">
        <v>13439</v>
      </c>
      <c r="E55" s="7">
        <f t="shared" si="5"/>
        <v>0.76632263214917029</v>
      </c>
    </row>
    <row r="56" spans="1:12" s="37" customFormat="1" x14ac:dyDescent="0.25">
      <c r="B56" s="37" t="s">
        <v>144</v>
      </c>
      <c r="C56" s="40">
        <f>SUM(C50:C55)</f>
        <v>486299</v>
      </c>
      <c r="D56" s="4">
        <f>SUM(D50:D55)</f>
        <v>389157</v>
      </c>
      <c r="E56" s="7">
        <f t="shared" si="5"/>
        <v>0.80024223780020109</v>
      </c>
      <c r="G56" s="37">
        <f>0.754*E56*100</f>
        <v>60.338264730135158</v>
      </c>
    </row>
    <row r="57" spans="1:12" s="37" customFormat="1" x14ac:dyDescent="0.25">
      <c r="C57" s="40"/>
      <c r="D57" s="4"/>
    </row>
    <row r="58" spans="1:12" x14ac:dyDescent="0.25">
      <c r="A58" s="2" t="s">
        <v>583</v>
      </c>
      <c r="F58" s="21"/>
      <c r="G58" s="4"/>
      <c r="H58" s="4"/>
      <c r="K58" s="4"/>
      <c r="L58" s="4"/>
    </row>
    <row r="59" spans="1:12" x14ac:dyDescent="0.25">
      <c r="B59" s="21" t="s">
        <v>500</v>
      </c>
      <c r="C59" s="21" t="s">
        <v>584</v>
      </c>
      <c r="D59" s="21" t="s">
        <v>585</v>
      </c>
      <c r="E59" s="21" t="s">
        <v>586</v>
      </c>
      <c r="F59" s="21" t="s">
        <v>587</v>
      </c>
      <c r="G59" s="21" t="s">
        <v>585</v>
      </c>
      <c r="H59" s="4" t="s">
        <v>586</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588</v>
      </c>
    </row>
    <row r="72" spans="1:12" x14ac:dyDescent="0.25">
      <c r="J72" s="2"/>
    </row>
    <row r="97" spans="1:11" x14ac:dyDescent="0.25">
      <c r="A97" s="2" t="s">
        <v>1017</v>
      </c>
    </row>
    <row r="98" spans="1:11" x14ac:dyDescent="0.25">
      <c r="B98" t="s">
        <v>615</v>
      </c>
    </row>
    <row r="99" spans="1:11" x14ac:dyDescent="0.25">
      <c r="B99" t="s">
        <v>196</v>
      </c>
      <c r="C99" t="s">
        <v>215</v>
      </c>
      <c r="D99" t="s">
        <v>576</v>
      </c>
      <c r="E99" t="s">
        <v>577</v>
      </c>
      <c r="F99" s="37" t="s">
        <v>217</v>
      </c>
      <c r="G99" s="37" t="s">
        <v>576</v>
      </c>
      <c r="H99" s="37" t="s">
        <v>577</v>
      </c>
      <c r="J99" t="s">
        <v>1143</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1105</v>
      </c>
    </row>
    <row r="106" spans="1:11" x14ac:dyDescent="0.25">
      <c r="B106" t="s">
        <v>1106</v>
      </c>
    </row>
    <row r="107" spans="1:11" x14ac:dyDescent="0.25">
      <c r="B107" t="s">
        <v>1107</v>
      </c>
      <c r="C107" t="s">
        <v>106</v>
      </c>
      <c r="D107" t="s">
        <v>596</v>
      </c>
      <c r="E107" t="s">
        <v>576</v>
      </c>
      <c r="F107" t="s">
        <v>577</v>
      </c>
      <c r="G107" t="s">
        <v>1108</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1109</v>
      </c>
    </row>
    <row r="118" spans="2:6" x14ac:dyDescent="0.25">
      <c r="C118" t="s">
        <v>222</v>
      </c>
      <c r="D118" t="s">
        <v>223</v>
      </c>
    </row>
    <row r="119" spans="2:6" x14ac:dyDescent="0.25">
      <c r="B119" t="s">
        <v>1110</v>
      </c>
      <c r="C119">
        <v>53.5</v>
      </c>
      <c r="D119">
        <v>43.8</v>
      </c>
    </row>
    <row r="120" spans="2:6" x14ac:dyDescent="0.25">
      <c r="B120" t="s">
        <v>155</v>
      </c>
      <c r="C120">
        <v>59</v>
      </c>
      <c r="D120" s="31" t="s">
        <v>531</v>
      </c>
    </row>
    <row r="121" spans="2:6" x14ac:dyDescent="0.25">
      <c r="B121" t="s">
        <v>551</v>
      </c>
      <c r="C121">
        <v>70.8</v>
      </c>
      <c r="D121">
        <v>52.6</v>
      </c>
    </row>
    <row r="122" spans="2:6" x14ac:dyDescent="0.25">
      <c r="B122" t="s">
        <v>1111</v>
      </c>
      <c r="C122">
        <v>77</v>
      </c>
      <c r="D122">
        <v>65</v>
      </c>
    </row>
    <row r="123" spans="2:6" x14ac:dyDescent="0.25">
      <c r="B123" t="s">
        <v>579</v>
      </c>
      <c r="C123">
        <v>83</v>
      </c>
      <c r="D123">
        <v>72.8</v>
      </c>
    </row>
    <row r="124" spans="2:6" x14ac:dyDescent="0.25">
      <c r="B124" t="s">
        <v>1112</v>
      </c>
      <c r="C124">
        <v>85.1</v>
      </c>
      <c r="D124">
        <v>81.599999999999994</v>
      </c>
    </row>
    <row r="126" spans="2:6" x14ac:dyDescent="0.25">
      <c r="B126" t="s">
        <v>1113</v>
      </c>
    </row>
    <row r="127" spans="2:6" x14ac:dyDescent="0.25">
      <c r="C127" t="s">
        <v>1117</v>
      </c>
      <c r="D127" t="s">
        <v>1118</v>
      </c>
      <c r="E127" t="s">
        <v>1114</v>
      </c>
    </row>
    <row r="128" spans="2:6" x14ac:dyDescent="0.25">
      <c r="B128" t="s">
        <v>1110</v>
      </c>
      <c r="C128">
        <v>78.900000000000006</v>
      </c>
      <c r="D128">
        <v>93.2</v>
      </c>
      <c r="E128">
        <v>67.099999999999994</v>
      </c>
    </row>
    <row r="129" spans="1:5" x14ac:dyDescent="0.25">
      <c r="B129" t="s">
        <v>1115</v>
      </c>
      <c r="C129">
        <v>82.7</v>
      </c>
      <c r="D129">
        <v>96.6</v>
      </c>
      <c r="E129">
        <v>90.6</v>
      </c>
    </row>
    <row r="130" spans="1:5" x14ac:dyDescent="0.25">
      <c r="B130" t="s">
        <v>1116</v>
      </c>
      <c r="C130">
        <v>72.599999999999994</v>
      </c>
      <c r="D130">
        <v>94.5</v>
      </c>
      <c r="E130">
        <v>90.9</v>
      </c>
    </row>
    <row r="132" spans="1:5" x14ac:dyDescent="0.25">
      <c r="B132" t="s">
        <v>1124</v>
      </c>
    </row>
    <row r="133" spans="1:5" x14ac:dyDescent="0.25">
      <c r="B133" s="37"/>
      <c r="C133" s="37" t="s">
        <v>1117</v>
      </c>
      <c r="D133" s="37" t="s">
        <v>1118</v>
      </c>
      <c r="E133" s="37" t="s">
        <v>1114</v>
      </c>
    </row>
    <row r="134" spans="1:5" x14ac:dyDescent="0.25">
      <c r="B134" s="37" t="s">
        <v>1110</v>
      </c>
      <c r="C134" s="37">
        <v>78.900000000000006</v>
      </c>
      <c r="D134" s="8">
        <f>D128*C128/100</f>
        <v>73.534800000000004</v>
      </c>
      <c r="E134" s="8">
        <f>D134*E128/100</f>
        <v>49.341850800000003</v>
      </c>
    </row>
    <row r="135" spans="1:5" x14ac:dyDescent="0.25">
      <c r="B135" s="37" t="s">
        <v>1115</v>
      </c>
      <c r="C135" s="37">
        <v>82.7</v>
      </c>
      <c r="D135" s="8">
        <f>D129*C129/100</f>
        <v>79.888199999999998</v>
      </c>
      <c r="E135" s="8">
        <f>E129*D135/100</f>
        <v>72.378709199999989</v>
      </c>
    </row>
    <row r="136" spans="1:5" x14ac:dyDescent="0.25">
      <c r="B136" s="37" t="s">
        <v>1116</v>
      </c>
      <c r="C136" s="37">
        <v>72.599999999999994</v>
      </c>
      <c r="D136" s="8">
        <f>D130*C130/100</f>
        <v>68.606999999999999</v>
      </c>
      <c r="E136" s="8">
        <f>E130*D136/100</f>
        <v>62.363762999999999</v>
      </c>
    </row>
    <row r="138" spans="1:5" x14ac:dyDescent="0.25">
      <c r="A138" s="2" t="s">
        <v>1131</v>
      </c>
    </row>
    <row r="154" spans="1:1" x14ac:dyDescent="0.25">
      <c r="A154" s="2" t="s">
        <v>1132</v>
      </c>
    </row>
    <row r="155" spans="1:1" x14ac:dyDescent="0.25">
      <c r="A155" s="32" t="s">
        <v>1133</v>
      </c>
    </row>
    <row r="158" spans="1:1" x14ac:dyDescent="0.25">
      <c r="A158" s="2" t="s">
        <v>1134</v>
      </c>
    </row>
    <row r="188" spans="2:14" x14ac:dyDescent="0.25">
      <c r="B188" t="s">
        <v>196</v>
      </c>
      <c r="C188" t="s">
        <v>1136</v>
      </c>
      <c r="D188" t="s">
        <v>1135</v>
      </c>
      <c r="E188" t="s">
        <v>1096</v>
      </c>
      <c r="H188" s="37"/>
      <c r="I188" s="37"/>
      <c r="J188" s="37"/>
      <c r="K188" s="37"/>
      <c r="L188" s="37"/>
      <c r="M188" s="37"/>
      <c r="N188" s="37"/>
    </row>
    <row r="189" spans="2:14" x14ac:dyDescent="0.25">
      <c r="B189">
        <v>2003</v>
      </c>
      <c r="C189" s="37">
        <v>8205</v>
      </c>
      <c r="D189">
        <v>0</v>
      </c>
      <c r="E189">
        <f>D189/C189*100</f>
        <v>0</v>
      </c>
      <c r="H189" s="37"/>
      <c r="I189" s="37"/>
      <c r="J189" s="37"/>
      <c r="K189" s="37"/>
      <c r="L189" s="37"/>
      <c r="M189" s="37"/>
      <c r="N189" s="37"/>
    </row>
    <row r="190" spans="2:14" x14ac:dyDescent="0.25">
      <c r="B190">
        <v>2004</v>
      </c>
      <c r="C190" s="37">
        <v>8311</v>
      </c>
      <c r="D190">
        <v>0</v>
      </c>
      <c r="E190" s="37">
        <f t="shared" ref="E190:E194" si="6">D190/C190*100</f>
        <v>0</v>
      </c>
      <c r="H190" s="37"/>
      <c r="I190" s="37"/>
      <c r="J190" s="37"/>
      <c r="K190" s="37"/>
      <c r="L190" s="37"/>
      <c r="M190" s="37"/>
      <c r="N190" s="37"/>
    </row>
    <row r="191" spans="2:14" x14ac:dyDescent="0.25">
      <c r="B191" s="37">
        <v>2005</v>
      </c>
      <c r="C191" s="37">
        <v>8373</v>
      </c>
      <c r="D191">
        <v>10</v>
      </c>
      <c r="E191" s="8">
        <f t="shared" si="6"/>
        <v>0.11943150603129105</v>
      </c>
      <c r="J191" s="37"/>
      <c r="K191" s="37"/>
      <c r="L191" s="37"/>
    </row>
    <row r="192" spans="2:14" x14ac:dyDescent="0.25">
      <c r="B192" s="37">
        <v>2006</v>
      </c>
      <c r="C192" s="37">
        <v>8568</v>
      </c>
      <c r="D192">
        <v>93</v>
      </c>
      <c r="E192" s="8">
        <f t="shared" si="6"/>
        <v>1.0854341736694677</v>
      </c>
      <c r="J192" s="37"/>
      <c r="K192" s="37"/>
      <c r="L192" s="37"/>
      <c r="M192" s="37"/>
      <c r="N192" s="37"/>
    </row>
    <row r="193" spans="2:14" x14ac:dyDescent="0.25">
      <c r="B193" s="37">
        <v>2007</v>
      </c>
      <c r="C193">
        <v>8702</v>
      </c>
      <c r="D193">
        <v>412</v>
      </c>
      <c r="E193" s="8">
        <f t="shared" si="6"/>
        <v>4.7345437830383821</v>
      </c>
      <c r="H193" s="37"/>
      <c r="I193" s="37"/>
      <c r="J193" s="37"/>
      <c r="K193" s="37"/>
      <c r="L193" s="37"/>
      <c r="M193" s="37"/>
      <c r="N193" s="37"/>
    </row>
    <row r="194" spans="2:14" x14ac:dyDescent="0.25">
      <c r="B194" s="37">
        <v>2008</v>
      </c>
      <c r="C194" s="37">
        <v>9098</v>
      </c>
      <c r="D194">
        <v>735</v>
      </c>
      <c r="E194" s="8">
        <f t="shared" si="6"/>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631</v>
      </c>
    </row>
    <row r="44" spans="1:3" x14ac:dyDescent="0.25">
      <c r="B44" t="s">
        <v>632</v>
      </c>
    </row>
    <row r="46" spans="1:3" x14ac:dyDescent="0.25">
      <c r="A46" s="2" t="s">
        <v>709</v>
      </c>
    </row>
    <row r="47" spans="1:3" x14ac:dyDescent="0.25">
      <c r="B47" t="s">
        <v>710</v>
      </c>
    </row>
    <row r="48" spans="1:3" x14ac:dyDescent="0.25">
      <c r="B48" t="s">
        <v>711</v>
      </c>
      <c r="C48" s="12">
        <v>0.95399999999999996</v>
      </c>
    </row>
    <row r="49" spans="1:5" x14ac:dyDescent="0.25">
      <c r="B49" t="s">
        <v>712</v>
      </c>
      <c r="C49" s="12">
        <v>0.93100000000000005</v>
      </c>
      <c r="D49" s="5">
        <f>C49*C48</f>
        <v>0.88817400000000002</v>
      </c>
    </row>
    <row r="50" spans="1:5" x14ac:dyDescent="0.25">
      <c r="B50" t="s">
        <v>713</v>
      </c>
      <c r="C50" s="12">
        <v>0.97799999999999998</v>
      </c>
      <c r="D50" s="18">
        <f>C50*D49</f>
        <v>0.86863417200000004</v>
      </c>
    </row>
    <row r="51" spans="1:5" x14ac:dyDescent="0.25">
      <c r="B51" t="s">
        <v>714</v>
      </c>
      <c r="C51" s="12">
        <v>2.9000000000000001E-2</v>
      </c>
      <c r="D51" s="18">
        <f>C51*D50</f>
        <v>2.5190390988000001E-2</v>
      </c>
    </row>
    <row r="52" spans="1:5" x14ac:dyDescent="0.25">
      <c r="D52" t="s">
        <v>576</v>
      </c>
      <c r="E52" t="s">
        <v>577</v>
      </c>
    </row>
    <row r="53" spans="1:5" x14ac:dyDescent="0.25">
      <c r="B53" t="s">
        <v>715</v>
      </c>
      <c r="C53" s="12">
        <v>0.82499999999999996</v>
      </c>
    </row>
    <row r="54" spans="1:5" x14ac:dyDescent="0.25">
      <c r="B54" t="s">
        <v>716</v>
      </c>
      <c r="C54" s="12">
        <v>0.151</v>
      </c>
      <c r="D54" s="18">
        <v>2.4E-2</v>
      </c>
      <c r="E54" s="19">
        <v>0.27800000000000002</v>
      </c>
    </row>
    <row r="56" spans="1:5" x14ac:dyDescent="0.25">
      <c r="A56" s="2" t="s">
        <v>717</v>
      </c>
    </row>
    <row r="57" spans="1:5" x14ac:dyDescent="0.25">
      <c r="B57" t="s">
        <v>718</v>
      </c>
    </row>
    <row r="58" spans="1:5" x14ac:dyDescent="0.25">
      <c r="B58" t="s">
        <v>981</v>
      </c>
      <c r="C58" s="12">
        <v>5.8999999999999997E-2</v>
      </c>
    </row>
    <row r="59" spans="1:5" x14ac:dyDescent="0.25">
      <c r="B59" t="s">
        <v>719</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722</v>
      </c>
    </row>
    <row r="66" spans="1:7" x14ac:dyDescent="0.25">
      <c r="B66" t="s">
        <v>720</v>
      </c>
    </row>
    <row r="67" spans="1:7" x14ac:dyDescent="0.25">
      <c r="B67" t="s">
        <v>721</v>
      </c>
      <c r="C67">
        <v>9.3000000000000007</v>
      </c>
    </row>
    <row r="69" spans="1:7" x14ac:dyDescent="0.25">
      <c r="A69" s="2" t="s">
        <v>780</v>
      </c>
    </row>
    <row r="70" spans="1:7" x14ac:dyDescent="0.25">
      <c r="B70" t="s">
        <v>723</v>
      </c>
    </row>
    <row r="71" spans="1:7" x14ac:dyDescent="0.25">
      <c r="B71" t="s">
        <v>725</v>
      </c>
      <c r="C71" t="s">
        <v>724</v>
      </c>
      <c r="D71" t="s">
        <v>576</v>
      </c>
      <c r="E71" t="s">
        <v>577</v>
      </c>
    </row>
    <row r="72" spans="1:7" x14ac:dyDescent="0.25">
      <c r="B72" t="s">
        <v>726</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752</v>
      </c>
    </row>
    <row r="78" spans="1:7" x14ac:dyDescent="0.25">
      <c r="C78" t="s">
        <v>747</v>
      </c>
      <c r="D78" t="s">
        <v>748</v>
      </c>
      <c r="E78" t="s">
        <v>749</v>
      </c>
      <c r="F78" t="s">
        <v>750</v>
      </c>
      <c r="G78" t="s">
        <v>751</v>
      </c>
    </row>
    <row r="79" spans="1:7" x14ac:dyDescent="0.25">
      <c r="B79" t="s">
        <v>426</v>
      </c>
      <c r="C79" t="s">
        <v>727</v>
      </c>
      <c r="D79" t="s">
        <v>728</v>
      </c>
      <c r="E79" t="s">
        <v>729</v>
      </c>
      <c r="F79" t="s">
        <v>730</v>
      </c>
      <c r="G79" t="s">
        <v>730</v>
      </c>
    </row>
    <row r="80" spans="1:7" x14ac:dyDescent="0.25">
      <c r="B80" t="s">
        <v>731</v>
      </c>
      <c r="C80" t="s">
        <v>732</v>
      </c>
      <c r="D80" t="s">
        <v>733</v>
      </c>
      <c r="E80" t="s">
        <v>734</v>
      </c>
      <c r="F80" t="s">
        <v>735</v>
      </c>
      <c r="G80" t="s">
        <v>736</v>
      </c>
    </row>
    <row r="81" spans="2:7" x14ac:dyDescent="0.25">
      <c r="B81" t="s">
        <v>737</v>
      </c>
      <c r="C81" t="s">
        <v>738</v>
      </c>
      <c r="D81" t="s">
        <v>739</v>
      </c>
      <c r="E81" t="s">
        <v>739</v>
      </c>
      <c r="F81" t="s">
        <v>740</v>
      </c>
      <c r="G81" t="s">
        <v>740</v>
      </c>
    </row>
    <row r="82" spans="2:7" x14ac:dyDescent="0.25">
      <c r="B82" t="s">
        <v>741</v>
      </c>
      <c r="C82" t="s">
        <v>742</v>
      </c>
      <c r="D82" t="s">
        <v>743</v>
      </c>
      <c r="E82" t="s">
        <v>744</v>
      </c>
      <c r="F82" t="s">
        <v>745</v>
      </c>
      <c r="G82" t="s">
        <v>746</v>
      </c>
    </row>
    <row r="83" spans="2:7" x14ac:dyDescent="0.25">
      <c r="B83" t="s">
        <v>737</v>
      </c>
      <c r="C83" t="s">
        <v>738</v>
      </c>
      <c r="D83" t="s">
        <v>739</v>
      </c>
      <c r="E83" t="s">
        <v>739</v>
      </c>
      <c r="F83" t="s">
        <v>740</v>
      </c>
      <c r="G83" t="s">
        <v>740</v>
      </c>
    </row>
    <row r="85" spans="2:7" x14ac:dyDescent="0.25">
      <c r="B85" t="s">
        <v>753</v>
      </c>
      <c r="C85" t="s">
        <v>754</v>
      </c>
      <c r="D85" t="s">
        <v>754</v>
      </c>
      <c r="E85" t="s">
        <v>754</v>
      </c>
      <c r="F85" t="s">
        <v>754</v>
      </c>
      <c r="G85" t="s">
        <v>754</v>
      </c>
    </row>
    <row r="86" spans="2:7" x14ac:dyDescent="0.25">
      <c r="B86" t="s">
        <v>755</v>
      </c>
      <c r="C86" t="s">
        <v>756</v>
      </c>
      <c r="D86" t="s">
        <v>757</v>
      </c>
      <c r="E86" t="s">
        <v>758</v>
      </c>
      <c r="F86" t="s">
        <v>758</v>
      </c>
      <c r="G86" t="s">
        <v>758</v>
      </c>
    </row>
    <row r="87" spans="2:7" x14ac:dyDescent="0.25">
      <c r="B87" t="s">
        <v>759</v>
      </c>
      <c r="C87" t="s">
        <v>760</v>
      </c>
      <c r="D87" t="s">
        <v>761</v>
      </c>
      <c r="E87" t="s">
        <v>762</v>
      </c>
      <c r="F87" t="s">
        <v>763</v>
      </c>
      <c r="G87" t="s">
        <v>763</v>
      </c>
    </row>
    <row r="88" spans="2:7" x14ac:dyDescent="0.25">
      <c r="B88" t="s">
        <v>764</v>
      </c>
      <c r="C88" t="s">
        <v>765</v>
      </c>
      <c r="D88" t="s">
        <v>766</v>
      </c>
      <c r="E88" t="s">
        <v>767</v>
      </c>
      <c r="F88" t="s">
        <v>768</v>
      </c>
      <c r="G88" t="s">
        <v>769</v>
      </c>
    </row>
    <row r="89" spans="2:7" x14ac:dyDescent="0.25">
      <c r="B89" t="s">
        <v>770</v>
      </c>
      <c r="C89" t="s">
        <v>771</v>
      </c>
      <c r="D89" t="s">
        <v>772</v>
      </c>
      <c r="E89" t="s">
        <v>773</v>
      </c>
      <c r="F89" t="s">
        <v>773</v>
      </c>
      <c r="G89" t="s">
        <v>773</v>
      </c>
    </row>
    <row r="90" spans="2:7" x14ac:dyDescent="0.25">
      <c r="B90" t="s">
        <v>774</v>
      </c>
      <c r="C90" t="s">
        <v>775</v>
      </c>
      <c r="D90" t="s">
        <v>776</v>
      </c>
      <c r="E90" t="s">
        <v>777</v>
      </c>
      <c r="F90" t="s">
        <v>778</v>
      </c>
      <c r="G90" t="s">
        <v>779</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opLeftCell="A57" workbookViewId="0">
      <selection activeCell="R75" sqref="R75"/>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616</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1020</v>
      </c>
      <c r="L71" s="37" t="s">
        <v>222</v>
      </c>
      <c r="M71" s="37"/>
      <c r="N71" s="37"/>
      <c r="O71" s="37" t="s">
        <v>217</v>
      </c>
      <c r="P71" s="37"/>
      <c r="Q71" s="37"/>
      <c r="S71" s="43" t="s">
        <v>1018</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1021</v>
      </c>
    </row>
    <row r="90" spans="1:25" x14ac:dyDescent="0.25">
      <c r="A90" s="2" t="s">
        <v>243</v>
      </c>
      <c r="F90" s="41"/>
      <c r="K90" t="s">
        <v>1085</v>
      </c>
    </row>
    <row r="91" spans="1:25" x14ac:dyDescent="0.25">
      <c r="K91" s="20" t="s">
        <v>708</v>
      </c>
    </row>
    <row r="92" spans="1:25" x14ac:dyDescent="0.25">
      <c r="A92" t="s">
        <v>234</v>
      </c>
      <c r="B92" t="s">
        <v>235</v>
      </c>
      <c r="H92" s="41"/>
      <c r="K92" s="71" t="s">
        <v>1221</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1245</v>
      </c>
    </row>
    <row r="96" spans="1:25" x14ac:dyDescent="0.25">
      <c r="B96" t="s">
        <v>239</v>
      </c>
      <c r="C96">
        <v>2003</v>
      </c>
      <c r="D96">
        <v>17.8</v>
      </c>
      <c r="E96">
        <v>17.100000000000001</v>
      </c>
      <c r="L96" t="s">
        <v>490</v>
      </c>
      <c r="M96" t="s">
        <v>1246</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613</v>
      </c>
    </row>
    <row r="163" spans="1:15" x14ac:dyDescent="0.25">
      <c r="A163" s="36" t="s">
        <v>614</v>
      </c>
      <c r="B163" s="36"/>
      <c r="C163" s="36"/>
      <c r="D163" s="36"/>
      <c r="E163" s="36"/>
      <c r="F163" s="36"/>
      <c r="J163" s="37" t="s">
        <v>611</v>
      </c>
      <c r="K163" s="37"/>
      <c r="L163" s="37"/>
      <c r="M163" s="37"/>
      <c r="N163" s="37"/>
      <c r="O163" s="37"/>
    </row>
    <row r="164" spans="1:15" x14ac:dyDescent="0.25">
      <c r="A164" s="36" t="s">
        <v>597</v>
      </c>
      <c r="B164" s="36"/>
      <c r="C164" s="36"/>
      <c r="D164" s="36"/>
      <c r="E164" s="36"/>
      <c r="F164" s="36"/>
      <c r="J164" s="37" t="s">
        <v>597</v>
      </c>
      <c r="K164" s="37"/>
      <c r="L164" s="37"/>
      <c r="M164" s="37"/>
      <c r="N164" s="37"/>
      <c r="O164" s="37"/>
    </row>
    <row r="165" spans="1:15" x14ac:dyDescent="0.25">
      <c r="A165" s="36" t="s">
        <v>598</v>
      </c>
      <c r="B165" s="36"/>
      <c r="C165" s="36"/>
      <c r="D165" s="36"/>
      <c r="E165" s="36"/>
      <c r="F165" s="36"/>
      <c r="J165" s="37" t="s">
        <v>598</v>
      </c>
      <c r="K165" s="37"/>
      <c r="L165" s="37"/>
      <c r="M165" s="37"/>
      <c r="N165" s="37"/>
      <c r="O165" s="37"/>
    </row>
    <row r="166" spans="1:15" x14ac:dyDescent="0.25">
      <c r="A166" s="74" t="s">
        <v>150</v>
      </c>
      <c r="B166" s="74"/>
      <c r="C166" s="74"/>
      <c r="D166" s="74" t="s">
        <v>599</v>
      </c>
      <c r="E166" s="74"/>
      <c r="F166" s="74"/>
      <c r="J166" s="37" t="s">
        <v>150</v>
      </c>
      <c r="K166" s="37"/>
      <c r="L166" s="37"/>
      <c r="M166" s="37" t="s">
        <v>599</v>
      </c>
      <c r="N166" s="37"/>
      <c r="O166" s="37"/>
    </row>
    <row r="167" spans="1:15" x14ac:dyDescent="0.25">
      <c r="A167" s="74"/>
      <c r="B167" s="74"/>
      <c r="C167" s="74" t="s">
        <v>600</v>
      </c>
      <c r="D167" s="74" t="s">
        <v>601</v>
      </c>
      <c r="E167" s="74" t="s">
        <v>491</v>
      </c>
      <c r="F167" s="74" t="s">
        <v>492</v>
      </c>
      <c r="J167" s="37"/>
      <c r="K167" s="37"/>
      <c r="L167" s="37" t="s">
        <v>600</v>
      </c>
      <c r="M167" s="37" t="s">
        <v>601</v>
      </c>
      <c r="N167" s="37" t="s">
        <v>491</v>
      </c>
      <c r="O167" s="37" t="s">
        <v>492</v>
      </c>
    </row>
    <row r="168" spans="1:15" x14ac:dyDescent="0.25">
      <c r="A168" s="74" t="s">
        <v>602</v>
      </c>
      <c r="B168" s="74"/>
      <c r="C168" s="74"/>
      <c r="D168" s="74">
        <v>0</v>
      </c>
      <c r="E168" s="74">
        <v>0</v>
      </c>
      <c r="F168" s="74">
        <v>0</v>
      </c>
      <c r="J168" s="37" t="s">
        <v>602</v>
      </c>
      <c r="K168" s="37"/>
      <c r="L168" s="37"/>
      <c r="M168" s="37">
        <v>0</v>
      </c>
      <c r="N168" s="37">
        <v>0</v>
      </c>
      <c r="O168" s="37">
        <v>0</v>
      </c>
    </row>
    <row r="169" spans="1:15" x14ac:dyDescent="0.25">
      <c r="A169" s="74" t="s">
        <v>459</v>
      </c>
      <c r="B169" s="74"/>
      <c r="C169" s="74"/>
      <c r="D169" s="74">
        <v>0</v>
      </c>
      <c r="E169" s="74">
        <v>0</v>
      </c>
      <c r="F169" s="74">
        <v>0</v>
      </c>
      <c r="J169" s="35" t="s">
        <v>459</v>
      </c>
      <c r="K169" s="37"/>
      <c r="L169" s="37"/>
      <c r="M169" s="37">
        <v>0</v>
      </c>
      <c r="N169" s="37">
        <v>0</v>
      </c>
      <c r="O169" s="37">
        <v>0</v>
      </c>
    </row>
    <row r="170" spans="1:15" x14ac:dyDescent="0.25">
      <c r="A170" s="74" t="s">
        <v>338</v>
      </c>
      <c r="B170" s="74"/>
      <c r="C170" s="74"/>
      <c r="D170" s="74">
        <f>0.8*M170</f>
        <v>2.4960000000000004</v>
      </c>
      <c r="E170" s="74">
        <f>0.8*N170</f>
        <v>1.4976000000000003</v>
      </c>
      <c r="F170" s="74">
        <f>0.8*O170</f>
        <v>0.89856000000000003</v>
      </c>
      <c r="J170" s="35" t="s">
        <v>338</v>
      </c>
      <c r="K170" s="37"/>
      <c r="L170" s="37">
        <v>0.05</v>
      </c>
      <c r="M170" s="37">
        <v>3.12</v>
      </c>
      <c r="N170" s="37">
        <v>1.8720000000000001</v>
      </c>
      <c r="O170" s="37">
        <v>1.1232</v>
      </c>
    </row>
    <row r="171" spans="1:15" x14ac:dyDescent="0.25">
      <c r="A171" s="74" t="s">
        <v>311</v>
      </c>
      <c r="B171" s="74"/>
      <c r="C171" s="74"/>
      <c r="D171" s="74">
        <f t="shared" ref="D171:D183" si="0">0.8*M171</f>
        <v>12.48</v>
      </c>
      <c r="E171" s="74">
        <f t="shared" ref="E171:E183" si="1">0.8*N171</f>
        <v>7.4879999999999995</v>
      </c>
      <c r="F171" s="74">
        <f t="shared" ref="F171:F183" si="2">0.8*O171</f>
        <v>4.4927999999999999</v>
      </c>
      <c r="J171" s="37" t="s">
        <v>311</v>
      </c>
      <c r="K171" s="37"/>
      <c r="L171" s="37">
        <v>0.1</v>
      </c>
      <c r="M171" s="37">
        <v>15.6</v>
      </c>
      <c r="N171" s="37">
        <v>9.36</v>
      </c>
      <c r="O171" s="37">
        <v>5.6159999999999997</v>
      </c>
    </row>
    <row r="172" spans="1:15" x14ac:dyDescent="0.25">
      <c r="A172" s="74" t="s">
        <v>603</v>
      </c>
      <c r="B172" s="74"/>
      <c r="C172" s="74"/>
      <c r="D172" s="74">
        <f t="shared" si="0"/>
        <v>49.92</v>
      </c>
      <c r="E172" s="74">
        <f t="shared" si="1"/>
        <v>29.951999999999998</v>
      </c>
      <c r="F172" s="74">
        <f t="shared" si="2"/>
        <v>17.9712</v>
      </c>
      <c r="J172" s="37" t="s">
        <v>603</v>
      </c>
      <c r="K172" s="37">
        <v>1</v>
      </c>
      <c r="L172" s="37">
        <v>0.4</v>
      </c>
      <c r="M172" s="37">
        <v>62.4</v>
      </c>
      <c r="N172" s="37">
        <v>37.44</v>
      </c>
      <c r="O172" s="37">
        <v>22.463999999999999</v>
      </c>
    </row>
    <row r="173" spans="1:15" x14ac:dyDescent="0.25">
      <c r="A173" s="74" t="s">
        <v>139</v>
      </c>
      <c r="B173" s="74"/>
      <c r="C173" s="74"/>
      <c r="D173" s="74">
        <f t="shared" si="0"/>
        <v>124.80000000000001</v>
      </c>
      <c r="E173" s="74">
        <f t="shared" si="1"/>
        <v>74.88</v>
      </c>
      <c r="F173" s="74">
        <f t="shared" si="2"/>
        <v>44.927999999999997</v>
      </c>
      <c r="J173" s="37" t="s">
        <v>139</v>
      </c>
      <c r="K173" s="37">
        <v>5</v>
      </c>
      <c r="L173" s="37"/>
      <c r="M173" s="37">
        <v>156</v>
      </c>
      <c r="N173" s="37">
        <v>93.6</v>
      </c>
      <c r="O173" s="37">
        <v>56.16</v>
      </c>
    </row>
    <row r="174" spans="1:15" x14ac:dyDescent="0.25">
      <c r="A174" s="74" t="s">
        <v>314</v>
      </c>
      <c r="B174" s="74"/>
      <c r="C174" s="74"/>
      <c r="D174" s="74">
        <f t="shared" si="0"/>
        <v>88.24692632</v>
      </c>
      <c r="E174" s="74">
        <f t="shared" si="1"/>
        <v>52.948155776</v>
      </c>
      <c r="F174" s="74">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c r="C175" s="74"/>
      <c r="D175" s="74">
        <f t="shared" si="0"/>
        <v>62.400000000000006</v>
      </c>
      <c r="E175" s="74">
        <f t="shared" si="1"/>
        <v>37.44</v>
      </c>
      <c r="F175" s="74">
        <f t="shared" si="2"/>
        <v>22.463999999999999</v>
      </c>
      <c r="J175" s="37" t="s">
        <v>315</v>
      </c>
      <c r="K175" s="37">
        <v>15</v>
      </c>
      <c r="L175" s="37">
        <v>0.5</v>
      </c>
      <c r="M175" s="37">
        <v>78</v>
      </c>
      <c r="N175" s="37">
        <v>46.8</v>
      </c>
      <c r="O175" s="37">
        <v>28.08</v>
      </c>
    </row>
    <row r="176" spans="1:15" x14ac:dyDescent="0.25">
      <c r="A176" s="74" t="s">
        <v>316</v>
      </c>
      <c r="B176" s="74"/>
      <c r="C176" s="74"/>
      <c r="D176" s="74">
        <f t="shared" si="0"/>
        <v>44.123463143999999</v>
      </c>
      <c r="E176" s="74">
        <f t="shared" si="1"/>
        <v>26.474077888</v>
      </c>
      <c r="F176" s="74">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c r="C177" s="74"/>
      <c r="D177" s="74">
        <f t="shared" si="0"/>
        <v>31.200000000000003</v>
      </c>
      <c r="E177" s="74">
        <f t="shared" si="1"/>
        <v>18.72</v>
      </c>
      <c r="F177" s="74">
        <f t="shared" si="2"/>
        <v>11.231999999999999</v>
      </c>
      <c r="J177" s="37" t="s">
        <v>317</v>
      </c>
      <c r="K177" s="37">
        <v>25</v>
      </c>
      <c r="L177" s="37">
        <v>0.25</v>
      </c>
      <c r="M177" s="37">
        <v>39</v>
      </c>
      <c r="N177" s="37">
        <v>23.4</v>
      </c>
      <c r="O177" s="37">
        <v>14.04</v>
      </c>
    </row>
    <row r="178" spans="1:15" x14ac:dyDescent="0.25">
      <c r="A178" s="74" t="s">
        <v>604</v>
      </c>
      <c r="B178" s="74"/>
      <c r="C178" s="74"/>
      <c r="D178" s="74">
        <f t="shared" si="0"/>
        <v>22.061731576</v>
      </c>
      <c r="E178" s="74">
        <f t="shared" si="1"/>
        <v>13.237038944</v>
      </c>
      <c r="F178" s="74">
        <f t="shared" si="2"/>
        <v>7.9422233664000004</v>
      </c>
      <c r="J178" s="37" t="s">
        <v>604</v>
      </c>
      <c r="K178" s="37">
        <v>30</v>
      </c>
      <c r="L178" s="37">
        <v>0.17677669500000001</v>
      </c>
      <c r="M178" s="37">
        <v>27.57716447</v>
      </c>
      <c r="N178" s="37">
        <v>16.54629868</v>
      </c>
      <c r="O178" s="37">
        <v>9.9277792080000005</v>
      </c>
    </row>
    <row r="179" spans="1:15" x14ac:dyDescent="0.25">
      <c r="A179" s="74" t="s">
        <v>319</v>
      </c>
      <c r="B179" s="74"/>
      <c r="C179" s="74"/>
      <c r="D179" s="74">
        <f t="shared" si="0"/>
        <v>15.600000000000001</v>
      </c>
      <c r="E179" s="74">
        <f t="shared" si="1"/>
        <v>9.36</v>
      </c>
      <c r="F179" s="74">
        <f t="shared" si="2"/>
        <v>5.6159999999999997</v>
      </c>
      <c r="J179" s="37" t="s">
        <v>319</v>
      </c>
      <c r="K179" s="37">
        <v>35</v>
      </c>
      <c r="L179" s="37">
        <v>0.125</v>
      </c>
      <c r="M179" s="37">
        <v>19.5</v>
      </c>
      <c r="N179" s="37">
        <v>11.7</v>
      </c>
      <c r="O179" s="37">
        <v>7.02</v>
      </c>
    </row>
    <row r="180" spans="1:15" x14ac:dyDescent="0.25">
      <c r="A180" s="74" t="s">
        <v>324</v>
      </c>
      <c r="B180" s="74"/>
      <c r="C180" s="74"/>
      <c r="D180" s="74">
        <f t="shared" si="0"/>
        <v>11.030865784</v>
      </c>
      <c r="E180" s="74">
        <f t="shared" si="1"/>
        <v>6.618519472</v>
      </c>
      <c r="F180" s="74">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c r="C181" s="74"/>
      <c r="D181" s="74">
        <f t="shared" si="0"/>
        <v>7.8000000000000007</v>
      </c>
      <c r="E181" s="74">
        <f t="shared" si="1"/>
        <v>4.68</v>
      </c>
      <c r="F181" s="74">
        <f t="shared" si="2"/>
        <v>2.8079999999999998</v>
      </c>
      <c r="J181" s="37" t="s">
        <v>462</v>
      </c>
      <c r="K181" s="37">
        <v>45</v>
      </c>
      <c r="L181" s="37">
        <v>6.25E-2</v>
      </c>
      <c r="M181" s="37">
        <v>9.75</v>
      </c>
      <c r="N181" s="37">
        <v>5.85</v>
      </c>
      <c r="O181" s="37">
        <v>3.51</v>
      </c>
    </row>
    <row r="182" spans="1:15" x14ac:dyDescent="0.25">
      <c r="A182" s="74" t="s">
        <v>463</v>
      </c>
      <c r="B182" s="74"/>
      <c r="C182" s="74"/>
      <c r="D182" s="74">
        <f t="shared" si="0"/>
        <v>5.5154328935999999</v>
      </c>
      <c r="E182" s="74">
        <f t="shared" si="1"/>
        <v>3.309259736</v>
      </c>
      <c r="F182" s="74">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c r="C183" s="74"/>
      <c r="D183" s="74">
        <f t="shared" si="0"/>
        <v>3.9000000000000004</v>
      </c>
      <c r="E183" s="74">
        <f t="shared" si="1"/>
        <v>2.34</v>
      </c>
      <c r="F183" s="74">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605</v>
      </c>
      <c r="B185" s="74"/>
      <c r="C185" s="74"/>
      <c r="D185" s="74"/>
      <c r="E185" s="74"/>
      <c r="F185" s="74"/>
      <c r="G185" s="72"/>
      <c r="H185" s="72"/>
      <c r="I185" s="72"/>
      <c r="J185" s="72" t="s">
        <v>605</v>
      </c>
      <c r="K185" s="72"/>
      <c r="L185" s="72"/>
      <c r="M185" s="72"/>
      <c r="N185" s="72"/>
      <c r="O185" s="72"/>
    </row>
    <row r="186" spans="1:15" x14ac:dyDescent="0.25">
      <c r="A186" s="74" t="s">
        <v>606</v>
      </c>
      <c r="B186" s="74"/>
      <c r="C186" s="74"/>
      <c r="D186" s="74" t="s">
        <v>599</v>
      </c>
      <c r="E186" s="74"/>
      <c r="F186" s="74"/>
      <c r="G186" s="72"/>
      <c r="H186" s="72"/>
      <c r="I186" s="72"/>
      <c r="J186" s="72" t="s">
        <v>606</v>
      </c>
      <c r="K186" s="72"/>
      <c r="L186" s="72"/>
      <c r="M186" s="72" t="s">
        <v>599</v>
      </c>
      <c r="N186" s="72"/>
      <c r="O186" s="72"/>
    </row>
    <row r="187" spans="1:15" x14ac:dyDescent="0.25">
      <c r="A187" s="74"/>
      <c r="B187" s="74"/>
      <c r="C187" s="74" t="s">
        <v>600</v>
      </c>
      <c r="D187" s="74" t="s">
        <v>601</v>
      </c>
      <c r="E187" s="74" t="s">
        <v>491</v>
      </c>
      <c r="F187" s="74" t="s">
        <v>492</v>
      </c>
      <c r="G187" s="72"/>
      <c r="H187" s="72"/>
      <c r="I187" s="72"/>
      <c r="J187" s="72"/>
      <c r="K187" s="72"/>
      <c r="L187" s="72" t="s">
        <v>600</v>
      </c>
      <c r="M187" s="72" t="s">
        <v>601</v>
      </c>
      <c r="N187" s="72" t="s">
        <v>491</v>
      </c>
      <c r="O187" s="72" t="s">
        <v>492</v>
      </c>
    </row>
    <row r="188" spans="1:15" x14ac:dyDescent="0.25">
      <c r="A188" s="74" t="s">
        <v>602</v>
      </c>
      <c r="B188" s="74"/>
      <c r="C188" s="74"/>
      <c r="D188" s="75">
        <v>0</v>
      </c>
      <c r="E188" s="75">
        <v>0</v>
      </c>
      <c r="F188" s="75">
        <v>0</v>
      </c>
      <c r="G188" s="72"/>
      <c r="H188" s="72"/>
      <c r="I188" s="72"/>
      <c r="J188" s="72" t="s">
        <v>602</v>
      </c>
      <c r="K188" s="72"/>
      <c r="L188" s="72"/>
      <c r="M188" s="72">
        <v>0</v>
      </c>
      <c r="N188" s="72">
        <v>0</v>
      </c>
      <c r="O188" s="72">
        <v>0</v>
      </c>
    </row>
    <row r="189" spans="1:15" x14ac:dyDescent="0.25">
      <c r="A189" s="74" t="s">
        <v>459</v>
      </c>
      <c r="B189" s="74"/>
      <c r="C189" s="74"/>
      <c r="D189" s="75">
        <v>0</v>
      </c>
      <c r="E189" s="75">
        <v>0</v>
      </c>
      <c r="F189" s="75">
        <v>0</v>
      </c>
      <c r="G189" s="72"/>
      <c r="H189" s="72"/>
      <c r="I189" s="72"/>
      <c r="J189" s="73" t="s">
        <v>459</v>
      </c>
      <c r="K189" s="72"/>
      <c r="L189" s="72"/>
      <c r="M189" s="72">
        <v>0</v>
      </c>
      <c r="N189" s="72">
        <v>0</v>
      </c>
      <c r="O189" s="72">
        <v>0</v>
      </c>
    </row>
    <row r="190" spans="1:15" x14ac:dyDescent="0.25">
      <c r="A190" s="74" t="s">
        <v>338</v>
      </c>
      <c r="B190" s="74"/>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603</v>
      </c>
      <c r="B192" s="74">
        <v>1</v>
      </c>
      <c r="C192" s="74">
        <v>0.4</v>
      </c>
      <c r="D192" s="75">
        <f t="shared" si="3"/>
        <v>49.92</v>
      </c>
      <c r="E192" s="75">
        <f t="shared" si="4"/>
        <v>29.951999999999998</v>
      </c>
      <c r="F192" s="75">
        <f t="shared" si="5"/>
        <v>17.9712</v>
      </c>
      <c r="G192" s="72"/>
      <c r="H192" s="72"/>
      <c r="I192" s="72"/>
      <c r="J192" s="72" t="s">
        <v>603</v>
      </c>
      <c r="K192" s="72">
        <v>1</v>
      </c>
      <c r="L192" s="72">
        <v>0.4</v>
      </c>
      <c r="M192" s="72">
        <v>62.4</v>
      </c>
      <c r="N192" s="72">
        <v>37.44</v>
      </c>
      <c r="O192" s="72">
        <v>22.463999999999999</v>
      </c>
    </row>
    <row r="193" spans="1:15" x14ac:dyDescent="0.25">
      <c r="A193" s="74" t="s">
        <v>139</v>
      </c>
      <c r="B193" s="74">
        <v>5</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10</v>
      </c>
      <c r="C194" s="74">
        <v>0.70710678100000002</v>
      </c>
      <c r="D194" s="75">
        <f t="shared" si="3"/>
        <v>88.24692632</v>
      </c>
      <c r="E194" s="75">
        <f t="shared" si="4"/>
        <v>52.948155776</v>
      </c>
      <c r="F194" s="75">
        <f t="shared" si="5"/>
        <v>31.768893464000001</v>
      </c>
      <c r="G194" s="72"/>
      <c r="H194" s="72"/>
      <c r="I194" s="72"/>
      <c r="J194" s="72" t="s">
        <v>314</v>
      </c>
      <c r="K194" s="72">
        <v>10</v>
      </c>
      <c r="L194" s="72">
        <v>0.70710678100000002</v>
      </c>
      <c r="M194" s="72">
        <v>110.3086579</v>
      </c>
      <c r="N194" s="72">
        <v>66.185194719999998</v>
      </c>
      <c r="O194" s="72">
        <v>39.711116830000002</v>
      </c>
    </row>
    <row r="195" spans="1:15" x14ac:dyDescent="0.25">
      <c r="A195" s="74" t="s">
        <v>315</v>
      </c>
      <c r="B195" s="74">
        <v>15</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20</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25</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604</v>
      </c>
      <c r="B198" s="74">
        <v>30</v>
      </c>
      <c r="C198" s="74">
        <v>0.17677669500000001</v>
      </c>
      <c r="D198" s="75">
        <f t="shared" si="3"/>
        <v>22.061731576</v>
      </c>
      <c r="E198" s="75">
        <f t="shared" si="4"/>
        <v>13.237038944</v>
      </c>
      <c r="F198" s="75">
        <f t="shared" si="5"/>
        <v>7.9422233664000004</v>
      </c>
      <c r="G198" s="72"/>
      <c r="H198" s="72"/>
      <c r="I198" s="72"/>
      <c r="J198" s="72" t="s">
        <v>604</v>
      </c>
      <c r="K198" s="72">
        <v>30</v>
      </c>
      <c r="L198" s="72">
        <v>0.17677669500000001</v>
      </c>
      <c r="M198" s="72">
        <v>27.57716447</v>
      </c>
      <c r="N198" s="72">
        <v>16.54629868</v>
      </c>
      <c r="O198" s="72">
        <v>9.9277792080000005</v>
      </c>
    </row>
    <row r="199" spans="1:15" x14ac:dyDescent="0.25">
      <c r="A199" s="74" t="s">
        <v>319</v>
      </c>
      <c r="B199" s="74">
        <v>35</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40</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45</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50</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55</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612</v>
      </c>
      <c r="K205" s="37"/>
      <c r="L205" s="37"/>
      <c r="M205" s="37"/>
      <c r="N205" s="37"/>
      <c r="O205" s="37"/>
    </row>
    <row r="206" spans="1:15" x14ac:dyDescent="0.25">
      <c r="A206" s="36"/>
      <c r="B206" s="36"/>
      <c r="C206" s="36"/>
      <c r="D206" s="36"/>
      <c r="E206" s="36"/>
      <c r="F206" s="36"/>
      <c r="J206" s="37" t="s">
        <v>607</v>
      </c>
      <c r="K206" s="37" t="s">
        <v>608</v>
      </c>
      <c r="L206" s="37" t="s">
        <v>609</v>
      </c>
      <c r="M206" s="37" t="s">
        <v>610</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640</v>
      </c>
    </row>
    <row r="212" spans="1:15" x14ac:dyDescent="0.25">
      <c r="A212" s="36"/>
      <c r="B212" s="36"/>
      <c r="C212" s="36"/>
      <c r="D212" s="36"/>
      <c r="E212" s="36"/>
      <c r="F212" s="36"/>
      <c r="J212" s="37"/>
      <c r="K212" s="37"/>
      <c r="L212" s="37"/>
      <c r="M212" s="37"/>
      <c r="N212" s="37"/>
      <c r="O212" s="37"/>
    </row>
    <row r="213" spans="1:15" x14ac:dyDescent="0.25">
      <c r="A213" s="2" t="s">
        <v>621</v>
      </c>
    </row>
    <row r="214" spans="1:15" x14ac:dyDescent="0.25">
      <c r="B214" t="s">
        <v>625</v>
      </c>
    </row>
    <row r="215" spans="1:15" x14ac:dyDescent="0.25">
      <c r="B215" t="s">
        <v>622</v>
      </c>
    </row>
    <row r="216" spans="1:15" x14ac:dyDescent="0.25">
      <c r="B216" t="s">
        <v>623</v>
      </c>
    </row>
    <row r="217" spans="1:15" x14ac:dyDescent="0.25">
      <c r="B217" t="s">
        <v>624</v>
      </c>
    </row>
    <row r="219" spans="1:15" x14ac:dyDescent="0.25">
      <c r="A219" s="2" t="s">
        <v>626</v>
      </c>
    </row>
    <row r="220" spans="1:15" x14ac:dyDescent="0.25">
      <c r="A220" t="s">
        <v>472</v>
      </c>
      <c r="B220" t="s">
        <v>627</v>
      </c>
    </row>
    <row r="221" spans="1:15" x14ac:dyDescent="0.25">
      <c r="B221" t="s">
        <v>628</v>
      </c>
    </row>
    <row r="222" spans="1:15" x14ac:dyDescent="0.25">
      <c r="B222" t="s">
        <v>629</v>
      </c>
    </row>
    <row r="223" spans="1:15" x14ac:dyDescent="0.25">
      <c r="B223" t="s">
        <v>630</v>
      </c>
    </row>
    <row r="237" spans="1:2" x14ac:dyDescent="0.25">
      <c r="A237" s="2" t="s">
        <v>641</v>
      </c>
    </row>
    <row r="238" spans="1:2" x14ac:dyDescent="0.25">
      <c r="B238" t="s">
        <v>642</v>
      </c>
    </row>
    <row r="253" spans="1:2" x14ac:dyDescent="0.25">
      <c r="A253" s="2" t="s">
        <v>1220</v>
      </c>
    </row>
    <row r="254" spans="1:2" x14ac:dyDescent="0.25">
      <c r="B254" t="s">
        <v>1219</v>
      </c>
    </row>
    <row r="256" spans="1:2" x14ac:dyDescent="0.25">
      <c r="A256" t="s">
        <v>1141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H46" sqref="H46"/>
    </sheetView>
  </sheetViews>
  <sheetFormatPr defaultRowHeight="15" x14ac:dyDescent="0.25"/>
  <cols>
    <col min="2" max="2" width="17.5703125" customWidth="1"/>
  </cols>
  <sheetData>
    <row r="1" spans="1:4" x14ac:dyDescent="0.25">
      <c r="A1" s="2" t="s">
        <v>390</v>
      </c>
    </row>
    <row r="2" spans="1:4" x14ac:dyDescent="0.25">
      <c r="B2" t="s">
        <v>231</v>
      </c>
    </row>
    <row r="3" spans="1:4" x14ac:dyDescent="0.25">
      <c r="B3" t="s">
        <v>80</v>
      </c>
      <c r="C3" t="s">
        <v>232</v>
      </c>
    </row>
    <row r="4" spans="1:4" x14ac:dyDescent="0.25">
      <c r="B4" t="s">
        <v>137</v>
      </c>
      <c r="C4">
        <v>71.5</v>
      </c>
    </row>
    <row r="5" spans="1:4" x14ac:dyDescent="0.25">
      <c r="B5" t="s">
        <v>138</v>
      </c>
      <c r="C5">
        <v>89</v>
      </c>
    </row>
    <row r="6" spans="1:4" x14ac:dyDescent="0.25">
      <c r="B6" t="s">
        <v>139</v>
      </c>
      <c r="C6">
        <v>88.3</v>
      </c>
    </row>
    <row r="7" spans="1:4" x14ac:dyDescent="0.25">
      <c r="B7" t="s">
        <v>156</v>
      </c>
      <c r="C7">
        <v>89.3</v>
      </c>
    </row>
    <row r="8" spans="1:4" x14ac:dyDescent="0.25">
      <c r="B8" t="s">
        <v>157</v>
      </c>
      <c r="C8">
        <v>83.7</v>
      </c>
    </row>
    <row r="9" spans="1:4" x14ac:dyDescent="0.25">
      <c r="B9" t="s">
        <v>144</v>
      </c>
      <c r="C9">
        <v>83.7</v>
      </c>
    </row>
    <row r="10" spans="1:4" x14ac:dyDescent="0.25">
      <c r="B10" t="s">
        <v>158</v>
      </c>
      <c r="C10">
        <v>46.4</v>
      </c>
    </row>
    <row r="12" spans="1:4" x14ac:dyDescent="0.25">
      <c r="A12" s="2" t="s">
        <v>402</v>
      </c>
    </row>
    <row r="13" spans="1:4" x14ac:dyDescent="0.25">
      <c r="B13" t="s">
        <v>417</v>
      </c>
    </row>
    <row r="14" spans="1:4" x14ac:dyDescent="0.25">
      <c r="C14">
        <v>2007</v>
      </c>
      <c r="D14">
        <v>2012</v>
      </c>
    </row>
    <row r="15" spans="1:4" x14ac:dyDescent="0.25">
      <c r="B15" t="s">
        <v>158</v>
      </c>
      <c r="C15">
        <v>48.2</v>
      </c>
      <c r="D15">
        <v>66.3</v>
      </c>
    </row>
    <row r="16" spans="1:4" x14ac:dyDescent="0.25">
      <c r="B16" t="s">
        <v>28</v>
      </c>
      <c r="C16">
        <v>85</v>
      </c>
      <c r="D16">
        <v>91.2</v>
      </c>
    </row>
    <row r="18" spans="1:4" x14ac:dyDescent="0.25">
      <c r="B18" t="s">
        <v>418</v>
      </c>
    </row>
    <row r="19" spans="1:4" x14ac:dyDescent="0.25">
      <c r="C19">
        <v>2007</v>
      </c>
      <c r="D19">
        <v>2012</v>
      </c>
    </row>
    <row r="20" spans="1:4" x14ac:dyDescent="0.25">
      <c r="B20" t="s">
        <v>419</v>
      </c>
      <c r="C20">
        <v>4.0999999999999996</v>
      </c>
      <c r="D20">
        <v>3.1</v>
      </c>
    </row>
    <row r="21" spans="1:4" x14ac:dyDescent="0.25">
      <c r="B21" t="s">
        <v>420</v>
      </c>
      <c r="C21">
        <v>14.8</v>
      </c>
      <c r="D21">
        <v>16.899999999999999</v>
      </c>
    </row>
    <row r="22" spans="1:4" x14ac:dyDescent="0.25">
      <c r="B22" t="s">
        <v>144</v>
      </c>
      <c r="C22">
        <v>5.9</v>
      </c>
      <c r="D22">
        <v>4.4000000000000004</v>
      </c>
    </row>
    <row r="24" spans="1:4" x14ac:dyDescent="0.25">
      <c r="A24" s="2" t="s">
        <v>136</v>
      </c>
    </row>
    <row r="25" spans="1:4" x14ac:dyDescent="0.25">
      <c r="A25" t="s">
        <v>230</v>
      </c>
      <c r="B25" t="s">
        <v>231</v>
      </c>
    </row>
    <row r="26" spans="1:4" x14ac:dyDescent="0.25">
      <c r="B26" t="s">
        <v>80</v>
      </c>
      <c r="C26" t="s">
        <v>232</v>
      </c>
    </row>
    <row r="27" spans="1:4" x14ac:dyDescent="0.25">
      <c r="B27" t="s">
        <v>155</v>
      </c>
      <c r="C27">
        <v>91.4</v>
      </c>
    </row>
    <row r="28" spans="1:4" x14ac:dyDescent="0.25">
      <c r="B28" t="s">
        <v>137</v>
      </c>
      <c r="C28">
        <v>87.1</v>
      </c>
    </row>
    <row r="29" spans="1:4" x14ac:dyDescent="0.25">
      <c r="B29" t="s">
        <v>138</v>
      </c>
      <c r="C29">
        <v>96.5</v>
      </c>
    </row>
    <row r="30" spans="1:4" x14ac:dyDescent="0.25">
      <c r="B30" t="s">
        <v>139</v>
      </c>
      <c r="C30">
        <v>94.6</v>
      </c>
    </row>
    <row r="31" spans="1:4" x14ac:dyDescent="0.25">
      <c r="B31" t="s">
        <v>156</v>
      </c>
      <c r="C31">
        <v>93.4</v>
      </c>
    </row>
    <row r="32" spans="1:4" x14ac:dyDescent="0.25">
      <c r="B32" t="s">
        <v>157</v>
      </c>
      <c r="C32">
        <v>91.9</v>
      </c>
    </row>
    <row r="33" spans="1:5" x14ac:dyDescent="0.25">
      <c r="B33" t="s">
        <v>144</v>
      </c>
      <c r="C33">
        <v>92.6</v>
      </c>
    </row>
    <row r="34" spans="1:5" x14ac:dyDescent="0.25">
      <c r="B34" t="s">
        <v>158</v>
      </c>
      <c r="C34">
        <v>72.099999999999994</v>
      </c>
    </row>
    <row r="35" spans="1:5" s="37" customFormat="1" x14ac:dyDescent="0.25"/>
    <row r="36" spans="1:5" x14ac:dyDescent="0.25">
      <c r="A36" s="42" t="s">
        <v>702</v>
      </c>
    </row>
    <row r="37" spans="1:5" x14ac:dyDescent="0.25">
      <c r="A37" s="2" t="s">
        <v>699</v>
      </c>
    </row>
    <row r="38" spans="1:5" x14ac:dyDescent="0.25">
      <c r="B38" t="s">
        <v>700</v>
      </c>
    </row>
    <row r="39" spans="1:5" x14ac:dyDescent="0.25">
      <c r="B39" t="s">
        <v>701</v>
      </c>
    </row>
    <row r="41" spans="1:5" x14ac:dyDescent="0.25">
      <c r="A41" s="2" t="s">
        <v>703</v>
      </c>
    </row>
    <row r="42" spans="1:5" x14ac:dyDescent="0.25">
      <c r="C42" t="s">
        <v>1144</v>
      </c>
    </row>
    <row r="43" spans="1:5" s="37" customFormat="1" x14ac:dyDescent="0.25">
      <c r="C43" s="37" t="s">
        <v>1123</v>
      </c>
      <c r="D43" s="37" t="s">
        <v>576</v>
      </c>
      <c r="E43" s="37" t="s">
        <v>577</v>
      </c>
    </row>
    <row r="44" spans="1:5" x14ac:dyDescent="0.25">
      <c r="B44" t="s">
        <v>704</v>
      </c>
      <c r="C44">
        <v>0.52</v>
      </c>
      <c r="D44">
        <v>0.4</v>
      </c>
      <c r="E44">
        <v>0.68</v>
      </c>
    </row>
    <row r="45" spans="1:5" x14ac:dyDescent="0.25">
      <c r="B45" t="s">
        <v>705</v>
      </c>
      <c r="C45">
        <v>0.42</v>
      </c>
      <c r="D45">
        <v>0.34</v>
      </c>
      <c r="E45">
        <v>0.54</v>
      </c>
    </row>
    <row r="46" spans="1:5" x14ac:dyDescent="0.25">
      <c r="B46" t="s">
        <v>706</v>
      </c>
      <c r="C46">
        <v>0.28999999999999998</v>
      </c>
      <c r="D46">
        <v>0.2</v>
      </c>
      <c r="E46">
        <v>0.41</v>
      </c>
    </row>
    <row r="47" spans="1:5" x14ac:dyDescent="0.25">
      <c r="B47" t="s">
        <v>707</v>
      </c>
      <c r="C47">
        <v>0.56000000000000005</v>
      </c>
      <c r="D47">
        <v>0.44</v>
      </c>
      <c r="E47">
        <v>0.7</v>
      </c>
    </row>
    <row r="49" spans="1:7" x14ac:dyDescent="0.25">
      <c r="A49" s="2" t="s">
        <v>1105</v>
      </c>
    </row>
    <row r="50" spans="1:7" x14ac:dyDescent="0.25">
      <c r="B50" t="s">
        <v>1107</v>
      </c>
      <c r="C50" t="s">
        <v>1119</v>
      </c>
      <c r="D50" t="s">
        <v>1120</v>
      </c>
      <c r="E50" t="s">
        <v>1121</v>
      </c>
      <c r="F50" t="s">
        <v>420</v>
      </c>
      <c r="G50" t="s">
        <v>1122</v>
      </c>
    </row>
    <row r="51" spans="1:7" x14ac:dyDescent="0.25">
      <c r="B51" t="s">
        <v>472</v>
      </c>
      <c r="C51">
        <v>46.7</v>
      </c>
      <c r="D51">
        <v>6.6</v>
      </c>
      <c r="E51">
        <v>53.3</v>
      </c>
      <c r="F51">
        <v>44.6</v>
      </c>
      <c r="G51">
        <v>2.2000000000000002</v>
      </c>
    </row>
    <row r="52" spans="1:7" x14ac:dyDescent="0.25">
      <c r="B52" t="s">
        <v>473</v>
      </c>
      <c r="C52">
        <v>55.5</v>
      </c>
      <c r="D52">
        <v>5.7</v>
      </c>
      <c r="E52">
        <v>61.2</v>
      </c>
      <c r="F52">
        <v>38.700000000000003</v>
      </c>
      <c r="G52">
        <v>0.1</v>
      </c>
    </row>
    <row r="53" spans="1:7" x14ac:dyDescent="0.25">
      <c r="B53" t="s">
        <v>471</v>
      </c>
      <c r="C53">
        <v>56.4</v>
      </c>
      <c r="D53">
        <v>2.7</v>
      </c>
      <c r="E53">
        <v>59.1</v>
      </c>
      <c r="F53">
        <v>40</v>
      </c>
      <c r="G53">
        <v>0.9</v>
      </c>
    </row>
    <row r="54" spans="1:7" x14ac:dyDescent="0.25">
      <c r="B54" t="s">
        <v>474</v>
      </c>
      <c r="C54">
        <v>42.3</v>
      </c>
      <c r="D54">
        <v>24.4</v>
      </c>
      <c r="E54">
        <v>66.7</v>
      </c>
      <c r="F54">
        <v>32.6</v>
      </c>
      <c r="G54">
        <v>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4"/>
  <sheetViews>
    <sheetView topLeftCell="Q92" workbookViewId="0">
      <selection activeCell="AE111" sqref="AE111"/>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row>
    <row r="31" spans="1:10" x14ac:dyDescent="0.25">
      <c r="B31" t="s">
        <v>138</v>
      </c>
      <c r="C31" s="4">
        <v>5735</v>
      </c>
      <c r="D31">
        <v>1.1100000000000001</v>
      </c>
      <c r="E31">
        <v>1.05</v>
      </c>
    </row>
    <row r="32" spans="1:10" x14ac:dyDescent="0.25">
      <c r="B32" t="s">
        <v>139</v>
      </c>
      <c r="C32" s="4">
        <v>6100</v>
      </c>
      <c r="D32">
        <v>2.2200000000000002</v>
      </c>
      <c r="E32">
        <v>2.09</v>
      </c>
    </row>
    <row r="33" spans="1:33" x14ac:dyDescent="0.25">
      <c r="B33" t="s">
        <v>140</v>
      </c>
      <c r="C33" s="4">
        <v>4510</v>
      </c>
      <c r="D33">
        <v>3.27</v>
      </c>
      <c r="E33">
        <v>3.07</v>
      </c>
    </row>
    <row r="34" spans="1:33" x14ac:dyDescent="0.25">
      <c r="B34" t="s">
        <v>141</v>
      </c>
      <c r="C34" s="4">
        <v>3773</v>
      </c>
      <c r="D34">
        <v>4.13</v>
      </c>
      <c r="E34">
        <v>3.81</v>
      </c>
    </row>
    <row r="35" spans="1:33" x14ac:dyDescent="0.25">
      <c r="B35" t="s">
        <v>142</v>
      </c>
      <c r="C35" s="4">
        <v>2885</v>
      </c>
      <c r="D35">
        <v>4.8499999999999996</v>
      </c>
      <c r="E35">
        <v>4.4000000000000004</v>
      </c>
    </row>
    <row r="36" spans="1:33" x14ac:dyDescent="0.25">
      <c r="B36" t="s">
        <v>143</v>
      </c>
      <c r="C36" s="4">
        <v>2257</v>
      </c>
      <c r="D36">
        <v>5.27</v>
      </c>
      <c r="E36">
        <v>4.7300000000000004</v>
      </c>
    </row>
    <row r="37" spans="1:33" x14ac:dyDescent="0.25">
      <c r="B37" t="s">
        <v>144</v>
      </c>
      <c r="C37" s="4">
        <v>31079</v>
      </c>
      <c r="D37">
        <v>2.48</v>
      </c>
      <c r="E37">
        <v>2.29</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982</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1">R42*K$52</f>
        <v>0</v>
      </c>
      <c r="T42" s="20">
        <f t="shared" ref="T42:T57" si="2">R42*L$52</f>
        <v>0</v>
      </c>
      <c r="U42" s="20">
        <f t="shared" ref="U42:U57" si="3">R42*M$52</f>
        <v>0</v>
      </c>
      <c r="V42" s="20">
        <f t="shared" ref="V42:V57" si="4">R42*N$52</f>
        <v>0</v>
      </c>
      <c r="W42" s="20">
        <f t="shared" ref="W42:W57" si="5">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6">D43*K$52</f>
        <v>0</v>
      </c>
      <c r="F43" s="20">
        <f t="shared" ref="F43:F57" si="7">D43*L$52</f>
        <v>0</v>
      </c>
      <c r="G43" s="20">
        <f t="shared" ref="G43:G57" si="8">D43*M$52</f>
        <v>0</v>
      </c>
      <c r="H43" s="20">
        <f t="shared" ref="H43:H57" si="9">D43*N$52</f>
        <v>0</v>
      </c>
      <c r="I43" s="20">
        <f t="shared" ref="I43:I57" si="10">D43*O$52</f>
        <v>0</v>
      </c>
      <c r="Q43" s="22" t="s">
        <v>459</v>
      </c>
      <c r="R43" s="20">
        <v>0</v>
      </c>
      <c r="S43" s="20">
        <f t="shared" si="1"/>
        <v>0</v>
      </c>
      <c r="T43" s="20">
        <f t="shared" si="2"/>
        <v>0</v>
      </c>
      <c r="U43" s="20">
        <f t="shared" si="3"/>
        <v>0</v>
      </c>
      <c r="V43" s="20">
        <f t="shared" si="4"/>
        <v>0</v>
      </c>
      <c r="W43" s="20">
        <f t="shared" si="5"/>
        <v>0</v>
      </c>
      <c r="Y43" s="22" t="s">
        <v>459</v>
      </c>
      <c r="Z43" s="20">
        <v>0</v>
      </c>
      <c r="AA43" s="20">
        <f t="shared" ref="AA43:AA57" si="11">Z43*K$52</f>
        <v>0</v>
      </c>
      <c r="AB43" s="20">
        <f t="shared" ref="AB43:AB57" si="12">Z43*L$52</f>
        <v>0</v>
      </c>
      <c r="AC43" s="20">
        <f t="shared" ref="AC43:AC57" si="13">Z43*M$52</f>
        <v>0</v>
      </c>
      <c r="AD43" s="20">
        <f t="shared" ref="AD43:AD57" si="14">Z43*N$52</f>
        <v>0</v>
      </c>
      <c r="AE43" s="20">
        <f t="shared" ref="AE43:AE57" si="15">Z43*O$52</f>
        <v>0</v>
      </c>
    </row>
    <row r="44" spans="1:33" x14ac:dyDescent="0.25">
      <c r="B44" s="15" t="s">
        <v>338</v>
      </c>
      <c r="C44">
        <v>3</v>
      </c>
      <c r="D44">
        <f>C44/1000</f>
        <v>3.0000000000000001E-3</v>
      </c>
      <c r="E44" s="20">
        <f t="shared" si="6"/>
        <v>3.0000000000000001E-3</v>
      </c>
      <c r="F44" s="20">
        <f t="shared" si="7"/>
        <v>3.0000000000000001E-3</v>
      </c>
      <c r="G44" s="20">
        <f t="shared" si="8"/>
        <v>1.74E-3</v>
      </c>
      <c r="H44" s="20">
        <f t="shared" si="9"/>
        <v>1.74E-3</v>
      </c>
      <c r="I44" s="20">
        <f t="shared" si="10"/>
        <v>1.23E-3</v>
      </c>
      <c r="Q44" s="22" t="s">
        <v>338</v>
      </c>
      <c r="R44" s="21">
        <v>0</v>
      </c>
      <c r="S44" s="20">
        <f t="shared" si="1"/>
        <v>0</v>
      </c>
      <c r="T44" s="20">
        <f t="shared" si="2"/>
        <v>0</v>
      </c>
      <c r="U44" s="20">
        <f t="shared" si="3"/>
        <v>0</v>
      </c>
      <c r="V44" s="20">
        <f t="shared" si="4"/>
        <v>0</v>
      </c>
      <c r="W44" s="20">
        <f t="shared" si="5"/>
        <v>0</v>
      </c>
      <c r="Y44" s="22" t="s">
        <v>338</v>
      </c>
      <c r="Z44" s="21">
        <v>0</v>
      </c>
      <c r="AA44" s="20">
        <f t="shared" si="11"/>
        <v>0</v>
      </c>
      <c r="AB44" s="20">
        <f t="shared" si="12"/>
        <v>0</v>
      </c>
      <c r="AC44" s="20">
        <f t="shared" si="13"/>
        <v>0</v>
      </c>
      <c r="AD44" s="20">
        <f t="shared" si="14"/>
        <v>0</v>
      </c>
      <c r="AE44" s="20">
        <f t="shared" si="15"/>
        <v>0</v>
      </c>
    </row>
    <row r="45" spans="1:33" x14ac:dyDescent="0.25">
      <c r="B45" s="15" t="s">
        <v>137</v>
      </c>
      <c r="C45">
        <v>179</v>
      </c>
      <c r="D45">
        <f t="shared" ref="D45:D51" si="16">C45/1000</f>
        <v>0.17899999999999999</v>
      </c>
      <c r="E45" s="20">
        <f t="shared" si="6"/>
        <v>0.17899999999999999</v>
      </c>
      <c r="F45" s="20">
        <f t="shared" si="7"/>
        <v>0.17899999999999999</v>
      </c>
      <c r="G45" s="20">
        <f t="shared" si="8"/>
        <v>0.10381999999999998</v>
      </c>
      <c r="H45" s="20">
        <f t="shared" si="9"/>
        <v>0.10381999999999998</v>
      </c>
      <c r="I45" s="20">
        <f t="shared" si="10"/>
        <v>7.3389999999999997E-2</v>
      </c>
      <c r="J45" s="48"/>
      <c r="Q45" s="22" t="s">
        <v>137</v>
      </c>
      <c r="R45" s="21">
        <v>0.11</v>
      </c>
      <c r="S45" s="20">
        <f t="shared" si="1"/>
        <v>0.11</v>
      </c>
      <c r="T45" s="20">
        <f t="shared" si="2"/>
        <v>0.11</v>
      </c>
      <c r="U45" s="20">
        <f t="shared" si="3"/>
        <v>6.3799999999999996E-2</v>
      </c>
      <c r="V45" s="20">
        <f t="shared" si="4"/>
        <v>6.3799999999999996E-2</v>
      </c>
      <c r="W45" s="20">
        <f t="shared" si="5"/>
        <v>4.5099999999999994E-2</v>
      </c>
      <c r="Y45" s="22" t="s">
        <v>137</v>
      </c>
      <c r="Z45" s="21">
        <v>9.6000000000000002E-2</v>
      </c>
      <c r="AA45" s="20">
        <f t="shared" si="11"/>
        <v>9.6000000000000002E-2</v>
      </c>
      <c r="AB45" s="20">
        <f t="shared" si="12"/>
        <v>9.6000000000000002E-2</v>
      </c>
      <c r="AC45" s="20">
        <f t="shared" si="13"/>
        <v>5.568E-2</v>
      </c>
      <c r="AD45" s="20">
        <f t="shared" si="14"/>
        <v>5.568E-2</v>
      </c>
      <c r="AE45" s="20">
        <f t="shared" si="15"/>
        <v>3.9359999999999999E-2</v>
      </c>
    </row>
    <row r="46" spans="1:33" x14ac:dyDescent="0.25">
      <c r="B46" t="s">
        <v>138</v>
      </c>
      <c r="C46">
        <v>368</v>
      </c>
      <c r="D46">
        <f t="shared" si="16"/>
        <v>0.36799999999999999</v>
      </c>
      <c r="E46" s="20">
        <f t="shared" si="6"/>
        <v>0.36799999999999999</v>
      </c>
      <c r="F46" s="20">
        <f t="shared" si="7"/>
        <v>0.36799999999999999</v>
      </c>
      <c r="G46" s="20">
        <f t="shared" si="8"/>
        <v>0.21343999999999999</v>
      </c>
      <c r="H46" s="20">
        <f t="shared" si="9"/>
        <v>0.21343999999999999</v>
      </c>
      <c r="I46" s="20">
        <f t="shared" si="10"/>
        <v>0.15087999999999999</v>
      </c>
      <c r="J46" s="48"/>
      <c r="Q46" s="21" t="s">
        <v>138</v>
      </c>
      <c r="R46" s="21">
        <v>0.25700000000000001</v>
      </c>
      <c r="S46" s="20">
        <f t="shared" si="1"/>
        <v>0.25700000000000001</v>
      </c>
      <c r="T46" s="20">
        <f t="shared" si="2"/>
        <v>0.25700000000000001</v>
      </c>
      <c r="U46" s="20">
        <f t="shared" si="3"/>
        <v>0.14906</v>
      </c>
      <c r="V46" s="20">
        <f t="shared" si="4"/>
        <v>0.14906</v>
      </c>
      <c r="W46" s="20">
        <f t="shared" si="5"/>
        <v>0.10536999999999999</v>
      </c>
      <c r="Y46" s="21" t="s">
        <v>138</v>
      </c>
      <c r="Z46" s="21">
        <v>0.20599999999999999</v>
      </c>
      <c r="AA46" s="20">
        <f t="shared" si="11"/>
        <v>0.20599999999999999</v>
      </c>
      <c r="AB46" s="20">
        <f t="shared" si="12"/>
        <v>0.20599999999999999</v>
      </c>
      <c r="AC46" s="20">
        <f t="shared" si="13"/>
        <v>0.11947999999999999</v>
      </c>
      <c r="AD46" s="20">
        <f t="shared" si="14"/>
        <v>0.11947999999999999</v>
      </c>
      <c r="AE46" s="20">
        <f t="shared" si="15"/>
        <v>8.4459999999999993E-2</v>
      </c>
    </row>
    <row r="47" spans="1:33" x14ac:dyDescent="0.25">
      <c r="B47" t="s">
        <v>139</v>
      </c>
      <c r="C47">
        <v>372</v>
      </c>
      <c r="D47">
        <f t="shared" si="16"/>
        <v>0.372</v>
      </c>
      <c r="E47" s="20">
        <f t="shared" si="6"/>
        <v>0.372</v>
      </c>
      <c r="F47" s="20">
        <f t="shared" si="7"/>
        <v>0.372</v>
      </c>
      <c r="G47" s="20">
        <f t="shared" si="8"/>
        <v>0.21575999999999998</v>
      </c>
      <c r="H47" s="20">
        <f t="shared" si="9"/>
        <v>0.21575999999999998</v>
      </c>
      <c r="I47" s="20">
        <f t="shared" si="10"/>
        <v>0.15251999999999999</v>
      </c>
      <c r="J47" s="48"/>
      <c r="Q47" s="21" t="s">
        <v>139</v>
      </c>
      <c r="R47" s="21">
        <v>0.24099999999999999</v>
      </c>
      <c r="S47" s="20">
        <f t="shared" si="1"/>
        <v>0.24099999999999999</v>
      </c>
      <c r="T47" s="20">
        <f t="shared" si="2"/>
        <v>0.24099999999999999</v>
      </c>
      <c r="U47" s="20">
        <f t="shared" si="3"/>
        <v>0.13977999999999999</v>
      </c>
      <c r="V47" s="20">
        <f t="shared" si="4"/>
        <v>0.13977999999999999</v>
      </c>
      <c r="W47" s="20">
        <f t="shared" si="5"/>
        <v>9.8809999999999995E-2</v>
      </c>
      <c r="Y47" s="21" t="s">
        <v>139</v>
      </c>
      <c r="Z47" s="21">
        <v>0.183</v>
      </c>
      <c r="AA47" s="20">
        <f t="shared" si="11"/>
        <v>0.183</v>
      </c>
      <c r="AB47" s="20">
        <f t="shared" si="12"/>
        <v>0.183</v>
      </c>
      <c r="AC47" s="20">
        <f t="shared" si="13"/>
        <v>0.10613999999999998</v>
      </c>
      <c r="AD47" s="20">
        <f t="shared" si="14"/>
        <v>0.10613999999999998</v>
      </c>
      <c r="AE47" s="20">
        <f t="shared" si="15"/>
        <v>7.5029999999999999E-2</v>
      </c>
    </row>
    <row r="48" spans="1:33" x14ac:dyDescent="0.25">
      <c r="B48" t="s">
        <v>140</v>
      </c>
      <c r="C48">
        <v>311</v>
      </c>
      <c r="D48">
        <f t="shared" si="16"/>
        <v>0.311</v>
      </c>
      <c r="E48" s="20">
        <f t="shared" si="6"/>
        <v>0.311</v>
      </c>
      <c r="F48" s="20">
        <f t="shared" si="7"/>
        <v>0.311</v>
      </c>
      <c r="G48" s="20">
        <f t="shared" si="8"/>
        <v>0.18037999999999998</v>
      </c>
      <c r="H48" s="20">
        <f t="shared" si="9"/>
        <v>0.18037999999999998</v>
      </c>
      <c r="I48" s="20">
        <f t="shared" si="10"/>
        <v>0.12750999999999998</v>
      </c>
      <c r="J48" s="48"/>
      <c r="Q48" s="21" t="s">
        <v>140</v>
      </c>
      <c r="R48" s="21">
        <v>0.19700000000000001</v>
      </c>
      <c r="S48" s="20">
        <f t="shared" si="1"/>
        <v>0.19700000000000001</v>
      </c>
      <c r="T48" s="20">
        <f t="shared" si="2"/>
        <v>0.19700000000000001</v>
      </c>
      <c r="U48" s="20">
        <f t="shared" si="3"/>
        <v>0.11426</v>
      </c>
      <c r="V48" s="20">
        <f t="shared" si="4"/>
        <v>0.11426</v>
      </c>
      <c r="W48" s="20">
        <f t="shared" si="5"/>
        <v>8.0769999999999995E-2</v>
      </c>
      <c r="Y48" s="21" t="s">
        <v>140</v>
      </c>
      <c r="Z48" s="21">
        <v>0.14799999999999999</v>
      </c>
      <c r="AA48" s="20">
        <f t="shared" si="11"/>
        <v>0.14799999999999999</v>
      </c>
      <c r="AB48" s="20">
        <f t="shared" si="12"/>
        <v>0.14799999999999999</v>
      </c>
      <c r="AC48" s="20">
        <f t="shared" si="13"/>
        <v>8.5839999999999986E-2</v>
      </c>
      <c r="AD48" s="20">
        <f t="shared" si="14"/>
        <v>8.5839999999999986E-2</v>
      </c>
      <c r="AE48" s="20">
        <f t="shared" si="15"/>
        <v>6.0679999999999991E-2</v>
      </c>
    </row>
    <row r="49" spans="1:31" x14ac:dyDescent="0.25">
      <c r="B49" t="s">
        <v>141</v>
      </c>
      <c r="C49">
        <v>226</v>
      </c>
      <c r="D49">
        <f t="shared" si="16"/>
        <v>0.22600000000000001</v>
      </c>
      <c r="E49" s="20">
        <f t="shared" si="6"/>
        <v>0.22600000000000001</v>
      </c>
      <c r="F49" s="20">
        <f t="shared" si="7"/>
        <v>0.22600000000000001</v>
      </c>
      <c r="G49" s="20">
        <f t="shared" si="8"/>
        <v>0.13108</v>
      </c>
      <c r="H49" s="20">
        <f t="shared" si="9"/>
        <v>0.13108</v>
      </c>
      <c r="I49" s="20">
        <f t="shared" si="10"/>
        <v>9.2659999999999992E-2</v>
      </c>
      <c r="J49" s="48"/>
      <c r="Q49" s="21" t="s">
        <v>141</v>
      </c>
      <c r="R49" s="21">
        <v>0.154</v>
      </c>
      <c r="S49" s="20">
        <f t="shared" si="1"/>
        <v>0.154</v>
      </c>
      <c r="T49" s="20">
        <f t="shared" si="2"/>
        <v>0.154</v>
      </c>
      <c r="U49" s="20">
        <f t="shared" si="3"/>
        <v>8.9319999999999997E-2</v>
      </c>
      <c r="V49" s="20">
        <f t="shared" si="4"/>
        <v>8.9319999999999997E-2</v>
      </c>
      <c r="W49" s="20">
        <f t="shared" si="5"/>
        <v>6.3140000000000002E-2</v>
      </c>
      <c r="Y49" s="21" t="s">
        <v>141</v>
      </c>
      <c r="Z49" s="21">
        <v>0.1</v>
      </c>
      <c r="AA49" s="20">
        <f t="shared" si="11"/>
        <v>0.1</v>
      </c>
      <c r="AB49" s="20">
        <f t="shared" si="12"/>
        <v>0.1</v>
      </c>
      <c r="AC49" s="20">
        <f t="shared" si="13"/>
        <v>5.7999999999999996E-2</v>
      </c>
      <c r="AD49" s="20">
        <f t="shared" si="14"/>
        <v>5.7999999999999996E-2</v>
      </c>
      <c r="AE49" s="20">
        <f t="shared" si="15"/>
        <v>4.1000000000000002E-2</v>
      </c>
    </row>
    <row r="50" spans="1:31" x14ac:dyDescent="0.25">
      <c r="B50" t="s">
        <v>142</v>
      </c>
      <c r="C50">
        <v>105</v>
      </c>
      <c r="D50">
        <f t="shared" si="16"/>
        <v>0.105</v>
      </c>
      <c r="E50" s="20">
        <f t="shared" si="6"/>
        <v>0.105</v>
      </c>
      <c r="F50" s="20">
        <f t="shared" si="7"/>
        <v>0.105</v>
      </c>
      <c r="G50" s="20">
        <f t="shared" si="8"/>
        <v>6.0899999999999996E-2</v>
      </c>
      <c r="H50" s="20">
        <f t="shared" si="9"/>
        <v>6.0899999999999996E-2</v>
      </c>
      <c r="I50" s="20">
        <f t="shared" si="10"/>
        <v>4.3049999999999998E-2</v>
      </c>
      <c r="J50" s="48"/>
      <c r="Q50" s="21" t="s">
        <v>142</v>
      </c>
      <c r="R50" s="21">
        <v>7.0000000000000007E-2</v>
      </c>
      <c r="S50" s="20">
        <f t="shared" si="1"/>
        <v>7.0000000000000007E-2</v>
      </c>
      <c r="T50" s="20">
        <f t="shared" si="2"/>
        <v>7.0000000000000007E-2</v>
      </c>
      <c r="U50" s="20">
        <f t="shared" si="3"/>
        <v>4.0600000000000004E-2</v>
      </c>
      <c r="V50" s="20">
        <f t="shared" si="4"/>
        <v>4.0600000000000004E-2</v>
      </c>
      <c r="W50" s="20">
        <f t="shared" si="5"/>
        <v>2.87E-2</v>
      </c>
      <c r="Y50" s="21" t="s">
        <v>142</v>
      </c>
      <c r="Z50" s="21">
        <v>3.7999999999999999E-2</v>
      </c>
      <c r="AA50" s="20">
        <f t="shared" si="11"/>
        <v>3.7999999999999999E-2</v>
      </c>
      <c r="AB50" s="20">
        <f t="shared" si="12"/>
        <v>3.7999999999999999E-2</v>
      </c>
      <c r="AC50" s="20">
        <f t="shared" si="13"/>
        <v>2.2039999999999997E-2</v>
      </c>
      <c r="AD50" s="20">
        <f t="shared" si="14"/>
        <v>2.2039999999999997E-2</v>
      </c>
      <c r="AE50" s="20">
        <f t="shared" si="15"/>
        <v>1.5579999999999998E-2</v>
      </c>
    </row>
    <row r="51" spans="1:31" x14ac:dyDescent="0.25">
      <c r="B51" t="s">
        <v>143</v>
      </c>
      <c r="C51">
        <v>14</v>
      </c>
      <c r="D51">
        <f t="shared" si="16"/>
        <v>1.4E-2</v>
      </c>
      <c r="E51" s="20">
        <f t="shared" si="6"/>
        <v>1.4E-2</v>
      </c>
      <c r="F51" s="20">
        <f t="shared" si="7"/>
        <v>1.4E-2</v>
      </c>
      <c r="G51" s="20">
        <f t="shared" si="8"/>
        <v>8.1199999999999987E-3</v>
      </c>
      <c r="H51" s="20">
        <f t="shared" si="9"/>
        <v>8.1199999999999987E-3</v>
      </c>
      <c r="I51" s="20">
        <f t="shared" si="10"/>
        <v>5.7399999999999994E-3</v>
      </c>
      <c r="J51" s="48"/>
      <c r="K51" t="s">
        <v>452</v>
      </c>
      <c r="L51" t="s">
        <v>453</v>
      </c>
      <c r="M51" t="s">
        <v>454</v>
      </c>
      <c r="N51" t="s">
        <v>455</v>
      </c>
      <c r="O51" t="s">
        <v>456</v>
      </c>
      <c r="Q51" s="21" t="s">
        <v>143</v>
      </c>
      <c r="R51" s="21">
        <v>0.05</v>
      </c>
      <c r="S51" s="20">
        <f t="shared" si="1"/>
        <v>0.05</v>
      </c>
      <c r="T51" s="20">
        <f t="shared" si="2"/>
        <v>0.05</v>
      </c>
      <c r="U51" s="20">
        <f t="shared" si="3"/>
        <v>2.8999999999999998E-2</v>
      </c>
      <c r="V51" s="20">
        <f t="shared" si="4"/>
        <v>2.8999999999999998E-2</v>
      </c>
      <c r="W51" s="20">
        <f t="shared" si="5"/>
        <v>2.0500000000000001E-2</v>
      </c>
      <c r="Y51" s="21" t="s">
        <v>143</v>
      </c>
      <c r="Z51" s="21">
        <v>8.9999999999999993E-3</v>
      </c>
      <c r="AA51" s="20">
        <f t="shared" si="11"/>
        <v>8.9999999999999993E-3</v>
      </c>
      <c r="AB51" s="20">
        <f t="shared" si="12"/>
        <v>8.9999999999999993E-3</v>
      </c>
      <c r="AC51" s="20">
        <f t="shared" si="13"/>
        <v>5.2199999999999989E-3</v>
      </c>
      <c r="AD51" s="20">
        <f t="shared" si="14"/>
        <v>5.2199999999999989E-3</v>
      </c>
      <c r="AE51" s="20">
        <f t="shared" si="15"/>
        <v>3.6899999999999997E-3</v>
      </c>
    </row>
    <row r="52" spans="1:31" x14ac:dyDescent="0.25">
      <c r="B52" t="s">
        <v>460</v>
      </c>
      <c r="C52" s="20">
        <v>0</v>
      </c>
      <c r="D52" s="20">
        <v>0</v>
      </c>
      <c r="E52" s="20">
        <f t="shared" si="6"/>
        <v>0</v>
      </c>
      <c r="F52" s="20">
        <f t="shared" si="7"/>
        <v>0</v>
      </c>
      <c r="G52" s="20">
        <f t="shared" si="8"/>
        <v>0</v>
      </c>
      <c r="H52" s="20">
        <f t="shared" si="9"/>
        <v>0</v>
      </c>
      <c r="I52" s="20">
        <f t="shared" si="10"/>
        <v>0</v>
      </c>
      <c r="J52" t="s">
        <v>457</v>
      </c>
      <c r="K52">
        <v>1</v>
      </c>
      <c r="L52">
        <v>1</v>
      </c>
      <c r="M52">
        <v>0.57999999999999996</v>
      </c>
      <c r="N52">
        <v>0.57999999999999996</v>
      </c>
      <c r="O52">
        <v>0.41</v>
      </c>
      <c r="Q52" s="21" t="s">
        <v>460</v>
      </c>
      <c r="R52" s="20">
        <v>0</v>
      </c>
      <c r="S52" s="20">
        <f t="shared" si="1"/>
        <v>0</v>
      </c>
      <c r="T52" s="20">
        <f t="shared" si="2"/>
        <v>0</v>
      </c>
      <c r="U52" s="20">
        <f t="shared" si="3"/>
        <v>0</v>
      </c>
      <c r="V52" s="20">
        <f t="shared" si="4"/>
        <v>0</v>
      </c>
      <c r="W52" s="20">
        <f t="shared" si="5"/>
        <v>0</v>
      </c>
      <c r="Y52" s="21" t="s">
        <v>460</v>
      </c>
      <c r="Z52" s="20">
        <v>0</v>
      </c>
      <c r="AA52" s="20">
        <f t="shared" si="11"/>
        <v>0</v>
      </c>
      <c r="AB52" s="20">
        <f t="shared" si="12"/>
        <v>0</v>
      </c>
      <c r="AC52" s="20">
        <f t="shared" si="13"/>
        <v>0</v>
      </c>
      <c r="AD52" s="20">
        <f t="shared" si="14"/>
        <v>0</v>
      </c>
      <c r="AE52" s="20">
        <f t="shared" si="15"/>
        <v>0</v>
      </c>
    </row>
    <row r="53" spans="1:31" x14ac:dyDescent="0.25">
      <c r="B53" t="s">
        <v>461</v>
      </c>
      <c r="C53" s="20">
        <v>0</v>
      </c>
      <c r="D53" s="20">
        <v>0</v>
      </c>
      <c r="E53" s="20">
        <f t="shared" si="6"/>
        <v>0</v>
      </c>
      <c r="F53" s="20">
        <f t="shared" si="7"/>
        <v>0</v>
      </c>
      <c r="G53" s="20">
        <f t="shared" si="8"/>
        <v>0</v>
      </c>
      <c r="H53" s="20">
        <f t="shared" si="9"/>
        <v>0</v>
      </c>
      <c r="I53" s="20">
        <f t="shared" si="10"/>
        <v>0</v>
      </c>
      <c r="Q53" s="21" t="s">
        <v>461</v>
      </c>
      <c r="R53" s="20">
        <v>0</v>
      </c>
      <c r="S53" s="20">
        <f t="shared" si="1"/>
        <v>0</v>
      </c>
      <c r="T53" s="20">
        <f t="shared" si="2"/>
        <v>0</v>
      </c>
      <c r="U53" s="20">
        <f t="shared" si="3"/>
        <v>0</v>
      </c>
      <c r="V53" s="20">
        <f t="shared" si="4"/>
        <v>0</v>
      </c>
      <c r="W53" s="20">
        <f t="shared" si="5"/>
        <v>0</v>
      </c>
      <c r="Y53" s="21" t="s">
        <v>461</v>
      </c>
      <c r="Z53" s="20">
        <v>0</v>
      </c>
      <c r="AA53" s="20">
        <f t="shared" si="11"/>
        <v>0</v>
      </c>
      <c r="AB53" s="20">
        <f t="shared" si="12"/>
        <v>0</v>
      </c>
      <c r="AC53" s="20">
        <f t="shared" si="13"/>
        <v>0</v>
      </c>
      <c r="AD53" s="20">
        <f t="shared" si="14"/>
        <v>0</v>
      </c>
      <c r="AE53" s="20">
        <f t="shared" si="15"/>
        <v>0</v>
      </c>
    </row>
    <row r="54" spans="1:31" s="21" customFormat="1" x14ac:dyDescent="0.25">
      <c r="B54" s="21" t="s">
        <v>324</v>
      </c>
      <c r="C54" s="20">
        <v>0</v>
      </c>
      <c r="D54" s="20">
        <v>0</v>
      </c>
      <c r="E54" s="20">
        <f t="shared" si="6"/>
        <v>0</v>
      </c>
      <c r="F54" s="20">
        <f t="shared" si="7"/>
        <v>0</v>
      </c>
      <c r="G54" s="20">
        <f t="shared" si="8"/>
        <v>0</v>
      </c>
      <c r="H54" s="20">
        <f t="shared" si="9"/>
        <v>0</v>
      </c>
      <c r="I54" s="20">
        <f t="shared" si="10"/>
        <v>0</v>
      </c>
      <c r="Q54" s="21" t="s">
        <v>324</v>
      </c>
      <c r="R54" s="20">
        <v>0</v>
      </c>
      <c r="S54" s="20">
        <f t="shared" si="1"/>
        <v>0</v>
      </c>
      <c r="T54" s="20">
        <f t="shared" si="2"/>
        <v>0</v>
      </c>
      <c r="U54" s="20">
        <f t="shared" si="3"/>
        <v>0</v>
      </c>
      <c r="V54" s="20">
        <f t="shared" si="4"/>
        <v>0</v>
      </c>
      <c r="W54" s="20">
        <f t="shared" si="5"/>
        <v>0</v>
      </c>
      <c r="Y54" s="21" t="s">
        <v>324</v>
      </c>
      <c r="Z54" s="20">
        <v>0</v>
      </c>
      <c r="AA54" s="20">
        <f t="shared" si="11"/>
        <v>0</v>
      </c>
      <c r="AB54" s="20">
        <f t="shared" si="12"/>
        <v>0</v>
      </c>
      <c r="AC54" s="20">
        <f t="shared" si="13"/>
        <v>0</v>
      </c>
      <c r="AD54" s="20">
        <f t="shared" si="14"/>
        <v>0</v>
      </c>
      <c r="AE54" s="20">
        <f t="shared" si="15"/>
        <v>0</v>
      </c>
    </row>
    <row r="55" spans="1:31" s="21" customFormat="1" x14ac:dyDescent="0.25">
      <c r="B55" s="21" t="s">
        <v>462</v>
      </c>
      <c r="C55" s="20">
        <v>0</v>
      </c>
      <c r="D55" s="20">
        <v>0</v>
      </c>
      <c r="E55" s="20">
        <f t="shared" si="6"/>
        <v>0</v>
      </c>
      <c r="F55" s="20">
        <f t="shared" si="7"/>
        <v>0</v>
      </c>
      <c r="G55" s="20">
        <f t="shared" si="8"/>
        <v>0</v>
      </c>
      <c r="H55" s="20">
        <f t="shared" si="9"/>
        <v>0</v>
      </c>
      <c r="I55" s="20">
        <f t="shared" si="10"/>
        <v>0</v>
      </c>
      <c r="Q55" s="21" t="s">
        <v>462</v>
      </c>
      <c r="R55" s="20">
        <v>0</v>
      </c>
      <c r="S55" s="20">
        <f t="shared" si="1"/>
        <v>0</v>
      </c>
      <c r="T55" s="20">
        <f t="shared" si="2"/>
        <v>0</v>
      </c>
      <c r="U55" s="20">
        <f t="shared" si="3"/>
        <v>0</v>
      </c>
      <c r="V55" s="20">
        <f t="shared" si="4"/>
        <v>0</v>
      </c>
      <c r="W55" s="20">
        <f t="shared" si="5"/>
        <v>0</v>
      </c>
      <c r="Y55" s="21" t="s">
        <v>462</v>
      </c>
      <c r="Z55" s="20">
        <v>0</v>
      </c>
      <c r="AA55" s="20">
        <f t="shared" si="11"/>
        <v>0</v>
      </c>
      <c r="AB55" s="20">
        <f t="shared" si="12"/>
        <v>0</v>
      </c>
      <c r="AC55" s="20">
        <f t="shared" si="13"/>
        <v>0</v>
      </c>
      <c r="AD55" s="20">
        <f t="shared" si="14"/>
        <v>0</v>
      </c>
      <c r="AE55" s="20">
        <f t="shared" si="15"/>
        <v>0</v>
      </c>
    </row>
    <row r="56" spans="1:31" s="21" customFormat="1" x14ac:dyDescent="0.25">
      <c r="B56" s="21" t="s">
        <v>463</v>
      </c>
      <c r="C56" s="20">
        <v>0</v>
      </c>
      <c r="D56" s="20">
        <v>0</v>
      </c>
      <c r="E56" s="20">
        <f t="shared" si="6"/>
        <v>0</v>
      </c>
      <c r="F56" s="20">
        <f t="shared" si="7"/>
        <v>0</v>
      </c>
      <c r="G56" s="20">
        <f t="shared" si="8"/>
        <v>0</v>
      </c>
      <c r="H56" s="20">
        <f t="shared" si="9"/>
        <v>0</v>
      </c>
      <c r="I56" s="20">
        <f t="shared" si="10"/>
        <v>0</v>
      </c>
      <c r="Q56" s="21" t="s">
        <v>463</v>
      </c>
      <c r="R56" s="20">
        <v>0</v>
      </c>
      <c r="S56" s="20">
        <f t="shared" si="1"/>
        <v>0</v>
      </c>
      <c r="T56" s="20">
        <f t="shared" si="2"/>
        <v>0</v>
      </c>
      <c r="U56" s="20">
        <f t="shared" si="3"/>
        <v>0</v>
      </c>
      <c r="V56" s="20">
        <f t="shared" si="4"/>
        <v>0</v>
      </c>
      <c r="W56" s="20">
        <f t="shared" si="5"/>
        <v>0</v>
      </c>
      <c r="Y56" s="21" t="s">
        <v>463</v>
      </c>
      <c r="Z56" s="20">
        <v>0</v>
      </c>
      <c r="AA56" s="20">
        <f t="shared" si="11"/>
        <v>0</v>
      </c>
      <c r="AB56" s="20">
        <f t="shared" si="12"/>
        <v>0</v>
      </c>
      <c r="AC56" s="20">
        <f t="shared" si="13"/>
        <v>0</v>
      </c>
      <c r="AD56" s="20">
        <f t="shared" si="14"/>
        <v>0</v>
      </c>
      <c r="AE56" s="20">
        <f t="shared" si="15"/>
        <v>0</v>
      </c>
    </row>
    <row r="57" spans="1:31" s="21" customFormat="1" x14ac:dyDescent="0.25">
      <c r="B57" s="21" t="s">
        <v>464</v>
      </c>
      <c r="C57" s="20">
        <v>0</v>
      </c>
      <c r="D57" s="20">
        <v>0</v>
      </c>
      <c r="E57" s="20">
        <f t="shared" si="6"/>
        <v>0</v>
      </c>
      <c r="F57" s="20">
        <f t="shared" si="7"/>
        <v>0</v>
      </c>
      <c r="G57" s="20">
        <f t="shared" si="8"/>
        <v>0</v>
      </c>
      <c r="H57" s="20">
        <f t="shared" si="9"/>
        <v>0</v>
      </c>
      <c r="I57" s="20">
        <f t="shared" si="10"/>
        <v>0</v>
      </c>
      <c r="Q57" s="21" t="s">
        <v>464</v>
      </c>
      <c r="R57" s="20">
        <v>0</v>
      </c>
      <c r="S57" s="20">
        <f t="shared" si="1"/>
        <v>0</v>
      </c>
      <c r="T57" s="20">
        <f t="shared" si="2"/>
        <v>0</v>
      </c>
      <c r="U57" s="20">
        <f t="shared" si="3"/>
        <v>0</v>
      </c>
      <c r="V57" s="20">
        <f t="shared" si="4"/>
        <v>0</v>
      </c>
      <c r="W57" s="20">
        <f t="shared" si="5"/>
        <v>0</v>
      </c>
      <c r="Y57" s="21" t="s">
        <v>464</v>
      </c>
      <c r="Z57" s="20">
        <v>0</v>
      </c>
      <c r="AA57" s="20">
        <f t="shared" si="11"/>
        <v>0</v>
      </c>
      <c r="AB57" s="20">
        <f t="shared" si="12"/>
        <v>0</v>
      </c>
      <c r="AC57" s="20">
        <f t="shared" si="13"/>
        <v>0</v>
      </c>
      <c r="AD57" s="20">
        <f t="shared" si="14"/>
        <v>0</v>
      </c>
      <c r="AE57" s="20">
        <f t="shared" si="15"/>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633</v>
      </c>
    </row>
    <row r="82" spans="1:32" x14ac:dyDescent="0.25">
      <c r="B82" t="s">
        <v>634</v>
      </c>
    </row>
    <row r="84" spans="1:32" x14ac:dyDescent="0.25">
      <c r="A84" s="2" t="s">
        <v>637</v>
      </c>
    </row>
    <row r="85" spans="1:32" x14ac:dyDescent="0.25">
      <c r="B85" t="s">
        <v>635</v>
      </c>
    </row>
    <row r="86" spans="1:32" x14ac:dyDescent="0.25">
      <c r="B86" t="s">
        <v>636</v>
      </c>
    </row>
    <row r="88" spans="1:32" x14ac:dyDescent="0.25">
      <c r="A88" s="2" t="s">
        <v>638</v>
      </c>
    </row>
    <row r="89" spans="1:32" x14ac:dyDescent="0.25">
      <c r="B89" t="s">
        <v>639</v>
      </c>
    </row>
    <row r="91" spans="1:32" x14ac:dyDescent="0.25">
      <c r="A91" s="2" t="s">
        <v>1041</v>
      </c>
    </row>
    <row r="92" spans="1:32" x14ac:dyDescent="0.25">
      <c r="B92" t="s">
        <v>1073</v>
      </c>
    </row>
    <row r="93" spans="1:32" x14ac:dyDescent="0.25">
      <c r="B93" s="45" t="s">
        <v>1042</v>
      </c>
      <c r="C93" s="47" t="s">
        <v>1043</v>
      </c>
      <c r="D93" s="47" t="s">
        <v>1044</v>
      </c>
      <c r="E93" s="47" t="s">
        <v>1045</v>
      </c>
      <c r="F93" s="47" t="s">
        <v>1046</v>
      </c>
      <c r="G93" s="47" t="s">
        <v>1047</v>
      </c>
      <c r="H93" s="47" t="s">
        <v>1048</v>
      </c>
      <c r="I93" s="47" t="s">
        <v>1049</v>
      </c>
      <c r="J93" s="47" t="s">
        <v>1050</v>
      </c>
      <c r="K93" s="47" t="s">
        <v>1051</v>
      </c>
      <c r="L93" s="47" t="s">
        <v>1052</v>
      </c>
      <c r="M93" s="47" t="s">
        <v>1053</v>
      </c>
      <c r="N93" s="47" t="s">
        <v>1054</v>
      </c>
      <c r="O93" s="47" t="s">
        <v>1055</v>
      </c>
      <c r="P93" s="47" t="s">
        <v>1056</v>
      </c>
      <c r="Q93" s="47" t="s">
        <v>1057</v>
      </c>
      <c r="R93" s="47" t="s">
        <v>1058</v>
      </c>
      <c r="S93" s="47" t="s">
        <v>1059</v>
      </c>
      <c r="T93" s="47" t="s">
        <v>1060</v>
      </c>
      <c r="U93" s="47" t="s">
        <v>1061</v>
      </c>
      <c r="V93" s="47" t="s">
        <v>1062</v>
      </c>
      <c r="W93" s="47" t="s">
        <v>1063</v>
      </c>
      <c r="X93" s="47" t="s">
        <v>1064</v>
      </c>
      <c r="Y93" s="47" t="s">
        <v>1065</v>
      </c>
      <c r="Z93" s="47" t="s">
        <v>1066</v>
      </c>
      <c r="AA93" s="47" t="s">
        <v>1067</v>
      </c>
      <c r="AB93" s="47" t="s">
        <v>1068</v>
      </c>
      <c r="AC93" s="47" t="s">
        <v>1069</v>
      </c>
      <c r="AD93" s="47" t="s">
        <v>1070</v>
      </c>
      <c r="AE93" s="47" t="s">
        <v>1071</v>
      </c>
      <c r="AF93" s="47" t="s">
        <v>1072</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7">5*SUM(D94:D100)/1000</f>
        <v>7.7850000000000001</v>
      </c>
      <c r="E101" s="37">
        <f t="shared" si="17"/>
        <v>8.0650000000000013</v>
      </c>
      <c r="F101" s="37">
        <f t="shared" si="17"/>
        <v>8.1100000000000012</v>
      </c>
      <c r="G101" s="37">
        <f t="shared" si="17"/>
        <v>7.99</v>
      </c>
      <c r="H101" s="37">
        <f t="shared" si="17"/>
        <v>7.64</v>
      </c>
      <c r="I101" s="37">
        <f t="shared" si="17"/>
        <v>7.2160000000000002</v>
      </c>
      <c r="J101" s="37">
        <f t="shared" si="17"/>
        <v>6.5380000000000003</v>
      </c>
      <c r="K101" s="37">
        <f t="shared" si="17"/>
        <v>5.65</v>
      </c>
      <c r="L101" s="37">
        <f t="shared" si="17"/>
        <v>5.35</v>
      </c>
      <c r="M101" s="37">
        <f t="shared" si="17"/>
        <v>4.9999999999999991</v>
      </c>
      <c r="N101" s="37">
        <f t="shared" si="17"/>
        <v>4.6500000000000004</v>
      </c>
      <c r="O101" s="37">
        <f t="shared" si="17"/>
        <v>4.0599999999999996</v>
      </c>
      <c r="P101" s="37">
        <f t="shared" si="17"/>
        <v>3.52</v>
      </c>
      <c r="Q101" s="37">
        <f t="shared" si="17"/>
        <v>3.2588000000000008</v>
      </c>
      <c r="R101" s="37">
        <f t="shared" si="17"/>
        <v>3.0358999999999998</v>
      </c>
      <c r="S101" s="37">
        <f t="shared" si="17"/>
        <v>2.8525</v>
      </c>
      <c r="T101" s="37">
        <f t="shared" si="17"/>
        <v>2.6886999999999999</v>
      </c>
      <c r="U101" s="37">
        <f t="shared" si="17"/>
        <v>2.5554999999999999</v>
      </c>
      <c r="V101" s="37">
        <f t="shared" si="17"/>
        <v>2.4356</v>
      </c>
      <c r="W101" s="37">
        <f t="shared" si="17"/>
        <v>2.3313999999999995</v>
      </c>
      <c r="X101" s="37">
        <f t="shared" si="17"/>
        <v>2.2336999999999994</v>
      </c>
      <c r="Y101" s="37">
        <f t="shared" si="17"/>
        <v>2.1492999999999998</v>
      </c>
      <c r="Z101" s="37">
        <f t="shared" si="17"/>
        <v>2.0713000000000004</v>
      </c>
      <c r="AA101" s="37">
        <f t="shared" si="17"/>
        <v>2.0036</v>
      </c>
      <c r="AB101" s="37">
        <f t="shared" si="17"/>
        <v>1.9453999999999998</v>
      </c>
      <c r="AC101" s="37">
        <f t="shared" si="17"/>
        <v>1.8951000000000002</v>
      </c>
      <c r="AD101" s="37">
        <f t="shared" si="17"/>
        <v>1.8574000000000002</v>
      </c>
      <c r="AE101" s="37">
        <f t="shared" si="17"/>
        <v>1.8286000000000002</v>
      </c>
      <c r="AF101" s="37">
        <f t="shared" si="17"/>
        <v>1.8050999999999999</v>
      </c>
    </row>
    <row r="102" spans="2:32" x14ac:dyDescent="0.25">
      <c r="B102" s="37" t="s">
        <v>1084</v>
      </c>
      <c r="C102" s="37"/>
      <c r="D102" s="37"/>
      <c r="E102" s="37"/>
      <c r="F102" s="37"/>
      <c r="G102" s="37"/>
      <c r="H102" s="37"/>
      <c r="I102" s="37"/>
    </row>
    <row r="103" spans="2:32" x14ac:dyDescent="0.25">
      <c r="B103" s="37" t="s">
        <v>80</v>
      </c>
      <c r="C103" s="37" t="s">
        <v>339</v>
      </c>
      <c r="D103" s="37" t="s">
        <v>1076</v>
      </c>
      <c r="E103" s="37" t="s">
        <v>452</v>
      </c>
      <c r="F103" s="37" t="s">
        <v>453</v>
      </c>
      <c r="G103" s="37" t="s">
        <v>454</v>
      </c>
      <c r="H103" s="37" t="s">
        <v>455</v>
      </c>
      <c r="I103" s="37" t="s">
        <v>456</v>
      </c>
    </row>
    <row r="104" spans="2:32" x14ac:dyDescent="0.25">
      <c r="B104" s="37" t="s">
        <v>458</v>
      </c>
      <c r="C104" s="20">
        <v>0</v>
      </c>
      <c r="D104" s="20">
        <v>0</v>
      </c>
      <c r="E104" s="20">
        <f>D104*K$52</f>
        <v>0</v>
      </c>
      <c r="F104" s="20">
        <f>D104*L$52</f>
        <v>0</v>
      </c>
      <c r="G104" s="20">
        <f>D104*M$52</f>
        <v>0</v>
      </c>
      <c r="H104" s="20">
        <f>D104*N$52</f>
        <v>0</v>
      </c>
      <c r="I104" s="20">
        <f>D104*O$52</f>
        <v>0</v>
      </c>
    </row>
    <row r="105" spans="2:32" x14ac:dyDescent="0.25">
      <c r="B105" s="22" t="s">
        <v>459</v>
      </c>
      <c r="C105" s="20">
        <v>0</v>
      </c>
      <c r="D105" s="20">
        <v>0</v>
      </c>
      <c r="E105" s="20">
        <f t="shared" ref="E105:E119" si="18">D105*K$52</f>
        <v>0</v>
      </c>
      <c r="F105" s="20">
        <f t="shared" ref="F105:F119" si="19">D105*L$52</f>
        <v>0</v>
      </c>
      <c r="G105" s="20">
        <f t="shared" ref="G105:G119" si="20">D105*M$52</f>
        <v>0</v>
      </c>
      <c r="H105" s="20">
        <f t="shared" ref="H105:H119" si="21">D105*N$52</f>
        <v>0</v>
      </c>
      <c r="I105" s="20">
        <f t="shared" ref="I105:I119" si="22">D105*O$52</f>
        <v>0</v>
      </c>
    </row>
    <row r="106" spans="2:32" x14ac:dyDescent="0.25">
      <c r="B106" s="22" t="s">
        <v>338</v>
      </c>
      <c r="C106" s="37">
        <v>0</v>
      </c>
      <c r="D106" s="37">
        <f t="shared" ref="D106:D113" si="23">C106/1000</f>
        <v>0</v>
      </c>
      <c r="E106" s="20">
        <f t="shared" si="18"/>
        <v>0</v>
      </c>
      <c r="F106" s="20">
        <f t="shared" si="19"/>
        <v>0</v>
      </c>
      <c r="G106" s="20">
        <f t="shared" si="20"/>
        <v>0</v>
      </c>
      <c r="H106" s="20">
        <f t="shared" si="21"/>
        <v>0</v>
      </c>
      <c r="I106" s="20">
        <f t="shared" si="22"/>
        <v>0</v>
      </c>
      <c r="W106">
        <f>(F96-K96)/K96</f>
        <v>0.45470852017937213</v>
      </c>
    </row>
    <row r="107" spans="2:32" x14ac:dyDescent="0.25">
      <c r="B107" s="22" t="s">
        <v>137</v>
      </c>
      <c r="C107" s="48">
        <v>182.26900000000001</v>
      </c>
      <c r="D107" s="51">
        <f t="shared" si="23"/>
        <v>0.18226900000000001</v>
      </c>
      <c r="E107" s="20">
        <f t="shared" si="18"/>
        <v>0.18226900000000001</v>
      </c>
      <c r="F107" s="20">
        <f t="shared" si="19"/>
        <v>0.18226900000000001</v>
      </c>
      <c r="G107" s="20">
        <f t="shared" si="20"/>
        <v>0.10571602000000001</v>
      </c>
      <c r="H107" s="20">
        <f t="shared" si="21"/>
        <v>0.10571602000000001</v>
      </c>
      <c r="I107" s="20">
        <f t="shared" si="22"/>
        <v>7.4730290000000005E-2</v>
      </c>
      <c r="W107">
        <f>K96/F96</f>
        <v>0.68742293464858206</v>
      </c>
    </row>
    <row r="108" spans="2:32" x14ac:dyDescent="0.25">
      <c r="B108" s="37" t="s">
        <v>138</v>
      </c>
      <c r="C108" s="48">
        <v>379.05500000000001</v>
      </c>
      <c r="D108" s="51">
        <f t="shared" si="23"/>
        <v>0.37905500000000003</v>
      </c>
      <c r="E108" s="20">
        <f t="shared" si="18"/>
        <v>0.37905500000000003</v>
      </c>
      <c r="F108" s="20">
        <f t="shared" si="19"/>
        <v>0.37905500000000003</v>
      </c>
      <c r="G108" s="20">
        <f t="shared" si="20"/>
        <v>0.21985189999999999</v>
      </c>
      <c r="H108" s="20">
        <f t="shared" si="21"/>
        <v>0.21985189999999999</v>
      </c>
      <c r="I108" s="20">
        <f t="shared" si="22"/>
        <v>0.15541255000000001</v>
      </c>
    </row>
    <row r="109" spans="2:32" x14ac:dyDescent="0.25">
      <c r="B109" s="37" t="s">
        <v>139</v>
      </c>
      <c r="C109" s="48">
        <v>364.53800000000001</v>
      </c>
      <c r="D109" s="51">
        <f t="shared" si="23"/>
        <v>0.36453800000000003</v>
      </c>
      <c r="E109" s="20">
        <f t="shared" si="18"/>
        <v>0.36453800000000003</v>
      </c>
      <c r="F109" s="20">
        <f t="shared" si="19"/>
        <v>0.36453800000000003</v>
      </c>
      <c r="G109" s="20">
        <f t="shared" si="20"/>
        <v>0.21143204000000002</v>
      </c>
      <c r="H109" s="20">
        <f t="shared" si="21"/>
        <v>0.21143204000000002</v>
      </c>
      <c r="I109" s="20">
        <f t="shared" si="22"/>
        <v>0.14946058000000001</v>
      </c>
    </row>
    <row r="110" spans="2:32" x14ac:dyDescent="0.25">
      <c r="B110" s="37" t="s">
        <v>140</v>
      </c>
      <c r="C110" s="48">
        <v>306.47000000000003</v>
      </c>
      <c r="D110" s="51">
        <f t="shared" si="23"/>
        <v>0.30647000000000002</v>
      </c>
      <c r="E110" s="20">
        <f t="shared" si="18"/>
        <v>0.30647000000000002</v>
      </c>
      <c r="F110" s="20">
        <f t="shared" si="19"/>
        <v>0.30647000000000002</v>
      </c>
      <c r="G110" s="20">
        <f t="shared" si="20"/>
        <v>0.17775260000000001</v>
      </c>
      <c r="H110" s="20">
        <f t="shared" si="21"/>
        <v>0.17775260000000001</v>
      </c>
      <c r="I110" s="20">
        <f t="shared" si="22"/>
        <v>0.12565270000000001</v>
      </c>
      <c r="AE110">
        <f>1-0.335</f>
        <v>0.66500000000000004</v>
      </c>
    </row>
    <row r="111" spans="2:32" x14ac:dyDescent="0.25">
      <c r="B111" s="37" t="s">
        <v>141</v>
      </c>
      <c r="C111" s="48">
        <v>219.36799999999999</v>
      </c>
      <c r="D111" s="51">
        <f t="shared" si="23"/>
        <v>0.21936800000000001</v>
      </c>
      <c r="E111" s="20">
        <f t="shared" si="18"/>
        <v>0.21936800000000001</v>
      </c>
      <c r="F111" s="20">
        <f t="shared" si="19"/>
        <v>0.21936800000000001</v>
      </c>
      <c r="G111" s="20">
        <f t="shared" si="20"/>
        <v>0.12723344</v>
      </c>
      <c r="H111" s="20">
        <f t="shared" si="21"/>
        <v>0.12723344</v>
      </c>
      <c r="I111" s="20">
        <f t="shared" si="22"/>
        <v>8.9940880000000001E-2</v>
      </c>
    </row>
    <row r="112" spans="2:32" x14ac:dyDescent="0.25">
      <c r="B112" s="37" t="s">
        <v>142</v>
      </c>
      <c r="C112" s="48">
        <v>119.36199999999999</v>
      </c>
      <c r="D112" s="51">
        <f t="shared" si="23"/>
        <v>0.119362</v>
      </c>
      <c r="E112" s="20">
        <f t="shared" si="18"/>
        <v>0.119362</v>
      </c>
      <c r="F112" s="20">
        <f t="shared" si="19"/>
        <v>0.119362</v>
      </c>
      <c r="G112" s="20">
        <f t="shared" si="20"/>
        <v>6.9229959999999993E-2</v>
      </c>
      <c r="H112" s="20">
        <f t="shared" si="21"/>
        <v>6.9229959999999993E-2</v>
      </c>
      <c r="I112" s="20">
        <f t="shared" si="22"/>
        <v>4.8938419999999996E-2</v>
      </c>
    </row>
    <row r="113" spans="2:9" x14ac:dyDescent="0.25">
      <c r="B113" s="37" t="s">
        <v>143</v>
      </c>
      <c r="C113" s="48">
        <v>41.938000000000002</v>
      </c>
      <c r="D113" s="51">
        <f t="shared" si="23"/>
        <v>4.1938000000000003E-2</v>
      </c>
      <c r="E113" s="20">
        <f t="shared" si="18"/>
        <v>4.1938000000000003E-2</v>
      </c>
      <c r="F113" s="20">
        <f t="shared" si="19"/>
        <v>4.1938000000000003E-2</v>
      </c>
      <c r="G113" s="20">
        <f t="shared" si="20"/>
        <v>2.4324040000000002E-2</v>
      </c>
      <c r="H113" s="20">
        <f t="shared" si="21"/>
        <v>2.4324040000000002E-2</v>
      </c>
      <c r="I113" s="20">
        <f t="shared" si="22"/>
        <v>1.7194580000000001E-2</v>
      </c>
    </row>
    <row r="114" spans="2:9" x14ac:dyDescent="0.25">
      <c r="B114" s="37" t="s">
        <v>460</v>
      </c>
      <c r="C114" s="20">
        <v>0</v>
      </c>
      <c r="D114" s="20">
        <v>0</v>
      </c>
      <c r="E114" s="20">
        <f t="shared" si="18"/>
        <v>0</v>
      </c>
      <c r="F114" s="20">
        <f t="shared" si="19"/>
        <v>0</v>
      </c>
      <c r="G114" s="20">
        <f t="shared" si="20"/>
        <v>0</v>
      </c>
      <c r="H114" s="20">
        <f t="shared" si="21"/>
        <v>0</v>
      </c>
      <c r="I114" s="20">
        <f t="shared" si="22"/>
        <v>0</v>
      </c>
    </row>
    <row r="115" spans="2:9" x14ac:dyDescent="0.25">
      <c r="B115" s="37" t="s">
        <v>461</v>
      </c>
      <c r="C115" s="20">
        <v>0</v>
      </c>
      <c r="D115" s="20">
        <v>0</v>
      </c>
      <c r="E115" s="20">
        <f t="shared" si="18"/>
        <v>0</v>
      </c>
      <c r="F115" s="20">
        <f t="shared" si="19"/>
        <v>0</v>
      </c>
      <c r="G115" s="20">
        <f t="shared" si="20"/>
        <v>0</v>
      </c>
      <c r="H115" s="20">
        <f t="shared" si="21"/>
        <v>0</v>
      </c>
      <c r="I115" s="20">
        <f t="shared" si="22"/>
        <v>0</v>
      </c>
    </row>
    <row r="116" spans="2:9" x14ac:dyDescent="0.25">
      <c r="B116" s="37" t="s">
        <v>324</v>
      </c>
      <c r="C116" s="20">
        <v>0</v>
      </c>
      <c r="D116" s="20">
        <v>0</v>
      </c>
      <c r="E116" s="20">
        <f t="shared" si="18"/>
        <v>0</v>
      </c>
      <c r="F116" s="20">
        <f t="shared" si="19"/>
        <v>0</v>
      </c>
      <c r="G116" s="20">
        <f t="shared" si="20"/>
        <v>0</v>
      </c>
      <c r="H116" s="20">
        <f t="shared" si="21"/>
        <v>0</v>
      </c>
      <c r="I116" s="20">
        <f t="shared" si="22"/>
        <v>0</v>
      </c>
    </row>
    <row r="117" spans="2:9" x14ac:dyDescent="0.25">
      <c r="B117" s="37" t="s">
        <v>462</v>
      </c>
      <c r="C117" s="20">
        <v>0</v>
      </c>
      <c r="D117" s="20">
        <v>0</v>
      </c>
      <c r="E117" s="20">
        <f t="shared" si="18"/>
        <v>0</v>
      </c>
      <c r="F117" s="20">
        <f t="shared" si="19"/>
        <v>0</v>
      </c>
      <c r="G117" s="20">
        <f t="shared" si="20"/>
        <v>0</v>
      </c>
      <c r="H117" s="20">
        <f t="shared" si="21"/>
        <v>0</v>
      </c>
      <c r="I117" s="20">
        <f t="shared" si="22"/>
        <v>0</v>
      </c>
    </row>
    <row r="118" spans="2:9" x14ac:dyDescent="0.25">
      <c r="B118" s="37" t="s">
        <v>463</v>
      </c>
      <c r="C118" s="20">
        <v>0</v>
      </c>
      <c r="D118" s="20">
        <v>0</v>
      </c>
      <c r="E118" s="20">
        <f t="shared" si="18"/>
        <v>0</v>
      </c>
      <c r="F118" s="20">
        <f t="shared" si="19"/>
        <v>0</v>
      </c>
      <c r="G118" s="20">
        <f t="shared" si="20"/>
        <v>0</v>
      </c>
      <c r="H118" s="20">
        <f t="shared" si="21"/>
        <v>0</v>
      </c>
      <c r="I118" s="20">
        <f t="shared" si="22"/>
        <v>0</v>
      </c>
    </row>
    <row r="119" spans="2:9" x14ac:dyDescent="0.25">
      <c r="B119" s="37" t="s">
        <v>464</v>
      </c>
      <c r="C119" s="20">
        <v>0</v>
      </c>
      <c r="D119" s="20">
        <v>0</v>
      </c>
      <c r="E119" s="20">
        <f t="shared" si="18"/>
        <v>0</v>
      </c>
      <c r="F119" s="20">
        <f t="shared" si="19"/>
        <v>0</v>
      </c>
      <c r="G119" s="20">
        <f t="shared" si="20"/>
        <v>0</v>
      </c>
      <c r="H119" s="20">
        <f t="shared" si="21"/>
        <v>0</v>
      </c>
      <c r="I119" s="20">
        <f t="shared" si="22"/>
        <v>0</v>
      </c>
    </row>
    <row r="121" spans="2:9" x14ac:dyDescent="0.25">
      <c r="B121" s="48"/>
      <c r="C121" s="37"/>
      <c r="D121" s="37">
        <f>SUM(D104:D119)*5</f>
        <v>8.0649999999999995</v>
      </c>
      <c r="E121" s="37"/>
      <c r="F121" s="37"/>
      <c r="G121" s="37"/>
    </row>
    <row r="122" spans="2:9" x14ac:dyDescent="0.25">
      <c r="B122" s="37"/>
      <c r="C122" s="37"/>
      <c r="D122" s="37"/>
      <c r="E122" s="37"/>
      <c r="F122" s="37"/>
      <c r="G122" s="37"/>
    </row>
    <row r="123" spans="2:9" x14ac:dyDescent="0.25">
      <c r="F123" t="s">
        <v>1088</v>
      </c>
    </row>
    <row r="124" spans="2:9" x14ac:dyDescent="0.25">
      <c r="G124" t="s">
        <v>1087</v>
      </c>
      <c r="H124" t="s">
        <v>1006</v>
      </c>
    </row>
    <row r="125" spans="2:9" x14ac:dyDescent="0.25">
      <c r="F125">
        <v>1925</v>
      </c>
      <c r="G125">
        <v>7.4809999999999999</v>
      </c>
    </row>
    <row r="126" spans="2:9" x14ac:dyDescent="0.25">
      <c r="F126" s="37">
        <v>1930</v>
      </c>
      <c r="G126" s="37">
        <v>7.4809999999999999</v>
      </c>
    </row>
    <row r="127" spans="2:9" x14ac:dyDescent="0.25">
      <c r="F127" s="37">
        <v>1935</v>
      </c>
      <c r="G127" s="37">
        <v>7.4809999999999999</v>
      </c>
    </row>
    <row r="128" spans="2:9" x14ac:dyDescent="0.25">
      <c r="F128" s="37">
        <v>1940</v>
      </c>
      <c r="G128" s="37">
        <v>7.4809999999999999</v>
      </c>
    </row>
    <row r="129" spans="6:8" x14ac:dyDescent="0.25">
      <c r="F129" s="37">
        <v>1945</v>
      </c>
      <c r="G129" s="37">
        <v>7.4809999999999999</v>
      </c>
    </row>
    <row r="130" spans="6:8" x14ac:dyDescent="0.25">
      <c r="F130" s="37">
        <v>1950</v>
      </c>
      <c r="G130" s="37">
        <v>7.4809999999999999</v>
      </c>
      <c r="H130" s="37">
        <v>7.4809999999999999</v>
      </c>
    </row>
    <row r="131" spans="6:8" x14ac:dyDescent="0.25">
      <c r="F131" s="37">
        <v>1955</v>
      </c>
      <c r="G131" s="37">
        <v>7.4809999999999999</v>
      </c>
      <c r="H131" s="37">
        <v>7.7850000000000001</v>
      </c>
    </row>
    <row r="132" spans="6:8" x14ac:dyDescent="0.25">
      <c r="F132" s="37">
        <v>1960</v>
      </c>
      <c r="G132" s="37">
        <v>7.4809999999999999</v>
      </c>
      <c r="H132" s="37">
        <v>8.0650000000000013</v>
      </c>
    </row>
    <row r="133" spans="6:8" x14ac:dyDescent="0.25">
      <c r="F133" s="37">
        <v>1965</v>
      </c>
      <c r="G133" s="37">
        <v>7.1069500000000003</v>
      </c>
      <c r="H133" s="37">
        <v>8.1100000000000012</v>
      </c>
    </row>
    <row r="134" spans="6:8" x14ac:dyDescent="0.25">
      <c r="F134" s="37">
        <v>1970</v>
      </c>
      <c r="G134" s="37">
        <v>6.7328999999999999</v>
      </c>
      <c r="H134" s="37">
        <v>7.99</v>
      </c>
    </row>
    <row r="135" spans="6:8" x14ac:dyDescent="0.25">
      <c r="F135" s="37">
        <v>1975</v>
      </c>
      <c r="G135" s="37">
        <v>6.3588500000000003</v>
      </c>
      <c r="H135" s="37">
        <v>7.64</v>
      </c>
    </row>
    <row r="136" spans="6:8" x14ac:dyDescent="0.25">
      <c r="F136" s="37">
        <v>1980</v>
      </c>
      <c r="G136" s="37">
        <v>5.9791002774989996</v>
      </c>
      <c r="H136" s="37">
        <v>7.2160000000000002</v>
      </c>
    </row>
    <row r="137" spans="6:8" x14ac:dyDescent="0.25">
      <c r="F137" s="37">
        <v>1985</v>
      </c>
      <c r="G137" s="37">
        <v>5.5663790347360003</v>
      </c>
      <c r="H137" s="37">
        <v>6.5380000000000003</v>
      </c>
    </row>
    <row r="138" spans="6:8" x14ac:dyDescent="0.25">
      <c r="F138" s="37">
        <v>1990</v>
      </c>
      <c r="G138" s="37">
        <v>4.9987303027299994</v>
      </c>
      <c r="H138" s="37">
        <v>5.65</v>
      </c>
    </row>
    <row r="139" spans="6:8" x14ac:dyDescent="0.25">
      <c r="F139" s="37">
        <v>1995</v>
      </c>
      <c r="G139" s="37">
        <v>4.352978105949</v>
      </c>
      <c r="H139" s="37">
        <v>5.35</v>
      </c>
    </row>
    <row r="140" spans="6:8" x14ac:dyDescent="0.25">
      <c r="F140" s="37">
        <v>2000</v>
      </c>
      <c r="G140" s="37">
        <v>3.8508793617579999</v>
      </c>
      <c r="H140" s="37">
        <v>4.9999999999999991</v>
      </c>
    </row>
    <row r="141" spans="6:8" x14ac:dyDescent="0.25">
      <c r="F141" s="37">
        <v>2005</v>
      </c>
      <c r="G141" s="37">
        <v>3.819383495701</v>
      </c>
      <c r="H141" s="37">
        <v>4.6500000000000004</v>
      </c>
    </row>
    <row r="142" spans="6:8" x14ac:dyDescent="0.25">
      <c r="F142" s="37">
        <v>2009.9999999999998</v>
      </c>
      <c r="G142" s="37">
        <v>3.7731554368700002</v>
      </c>
      <c r="H142" s="37">
        <v>4.0599999999999996</v>
      </c>
    </row>
    <row r="143" spans="6:8" x14ac:dyDescent="0.25">
      <c r="F143" s="37">
        <v>2015.0000000000002</v>
      </c>
      <c r="G143" s="37">
        <v>3.209527135179</v>
      </c>
      <c r="H143" s="37">
        <v>3.52</v>
      </c>
    </row>
    <row r="144" spans="6:8" x14ac:dyDescent="0.25">
      <c r="F144" s="37">
        <v>2020</v>
      </c>
      <c r="G144" s="37">
        <v>2.7588941232209998</v>
      </c>
      <c r="H144">
        <v>3.2588000000000008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7"/>
  <sheetViews>
    <sheetView tabSelected="1" topLeftCell="A93" workbookViewId="0">
      <selection activeCell="N114" sqref="N114"/>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row>
    <row r="62" spans="2:10" x14ac:dyDescent="0.25">
      <c r="B62" t="s">
        <v>378</v>
      </c>
      <c r="C62">
        <v>89</v>
      </c>
      <c r="D62">
        <v>113</v>
      </c>
      <c r="F62">
        <v>48</v>
      </c>
      <c r="G62">
        <v>60</v>
      </c>
    </row>
    <row r="64" spans="2:10" x14ac:dyDescent="0.25">
      <c r="B64" t="s">
        <v>381</v>
      </c>
    </row>
    <row r="65" spans="2:15" x14ac:dyDescent="0.25">
      <c r="C65" t="s">
        <v>222</v>
      </c>
      <c r="D65" t="s">
        <v>217</v>
      </c>
    </row>
    <row r="66" spans="2:15" x14ac:dyDescent="0.25">
      <c r="B66" t="s">
        <v>153</v>
      </c>
      <c r="C66">
        <v>313</v>
      </c>
      <c r="D66">
        <v>348</v>
      </c>
    </row>
    <row r="67" spans="2:15" x14ac:dyDescent="0.25">
      <c r="B67" t="s">
        <v>158</v>
      </c>
      <c r="C67">
        <v>396</v>
      </c>
      <c r="D67">
        <v>456</v>
      </c>
    </row>
    <row r="69" spans="2:15" x14ac:dyDescent="0.25">
      <c r="B69" t="s">
        <v>363</v>
      </c>
    </row>
    <row r="70" spans="2:15" x14ac:dyDescent="0.25">
      <c r="B70" t="s">
        <v>158</v>
      </c>
      <c r="F70" t="s">
        <v>1020</v>
      </c>
      <c r="J70" s="37" t="s">
        <v>1019</v>
      </c>
      <c r="K70" s="37"/>
      <c r="L70" s="37"/>
    </row>
    <row r="71" spans="2:15" x14ac:dyDescent="0.25">
      <c r="B71" t="s">
        <v>80</v>
      </c>
      <c r="C71" t="s">
        <v>215</v>
      </c>
      <c r="D71" t="s">
        <v>217</v>
      </c>
      <c r="F71" t="s">
        <v>246</v>
      </c>
      <c r="G71" t="s">
        <v>215</v>
      </c>
      <c r="H71" t="s">
        <v>217</v>
      </c>
      <c r="J71" s="37" t="s">
        <v>246</v>
      </c>
      <c r="K71" s="37" t="s">
        <v>215</v>
      </c>
      <c r="L71" s="37" t="s">
        <v>217</v>
      </c>
    </row>
    <row r="72" spans="2:15" x14ac:dyDescent="0.25">
      <c r="B72" t="s">
        <v>341</v>
      </c>
      <c r="C72" s="6">
        <v>9.5000000000000001E-2</v>
      </c>
      <c r="D72" s="6">
        <v>0.1226</v>
      </c>
      <c r="F72" t="s">
        <v>341</v>
      </c>
      <c r="G72" s="6">
        <v>5.0099999999999999E-2</v>
      </c>
      <c r="H72" s="6">
        <v>6.3200000000000006E-2</v>
      </c>
      <c r="J72" s="37" t="s">
        <v>341</v>
      </c>
      <c r="K72" s="6">
        <v>5.0099999999999999E-2</v>
      </c>
      <c r="L72" s="6">
        <v>6.3200000000000006E-2</v>
      </c>
      <c r="O72">
        <f>(K73 * 0.8)+(K72* 0.2)</f>
        <v>1.4420000000000002E-2</v>
      </c>
    </row>
    <row r="73" spans="2:15" x14ac:dyDescent="0.25">
      <c r="B73" s="15" t="s">
        <v>342</v>
      </c>
      <c r="C73" s="6">
        <v>1.29E-2</v>
      </c>
      <c r="D73" s="6">
        <v>1.52E-2</v>
      </c>
      <c r="F73" s="15" t="s">
        <v>342</v>
      </c>
      <c r="G73" s="25">
        <v>1.4420000000000002E-2</v>
      </c>
      <c r="H73" s="25">
        <v>1.8000000000000002E-2</v>
      </c>
      <c r="J73" s="22" t="s">
        <v>342</v>
      </c>
      <c r="K73" s="6">
        <v>5.4999999999999997E-3</v>
      </c>
      <c r="L73" s="6">
        <v>6.7000000000000002E-3</v>
      </c>
    </row>
    <row r="74" spans="2:15" x14ac:dyDescent="0.25">
      <c r="B74" s="15" t="s">
        <v>343</v>
      </c>
      <c r="C74" s="6">
        <v>2.3999999999999998E-3</v>
      </c>
      <c r="D74" s="6">
        <v>3.3999999999999998E-3</v>
      </c>
      <c r="F74" s="15" t="s">
        <v>343</v>
      </c>
      <c r="G74" s="6">
        <v>2.3E-3</v>
      </c>
      <c r="H74" s="6">
        <v>3.0000000000000001E-3</v>
      </c>
      <c r="J74" s="22" t="s">
        <v>343</v>
      </c>
      <c r="K74" s="6">
        <v>2.3E-3</v>
      </c>
      <c r="L74" s="6">
        <v>3.0000000000000001E-3</v>
      </c>
    </row>
    <row r="75" spans="2:15" x14ac:dyDescent="0.25">
      <c r="B75" s="15" t="s">
        <v>344</v>
      </c>
      <c r="C75" s="6">
        <v>2.8999999999999998E-3</v>
      </c>
      <c r="D75" s="6">
        <v>3.8999999999999998E-3</v>
      </c>
      <c r="F75" s="15" t="s">
        <v>344</v>
      </c>
      <c r="G75" s="6">
        <v>2.3999999999999998E-3</v>
      </c>
      <c r="H75" s="6">
        <v>2.8999999999999998E-3</v>
      </c>
      <c r="J75" s="22" t="s">
        <v>344</v>
      </c>
      <c r="K75" s="6">
        <v>2.3999999999999998E-3</v>
      </c>
      <c r="L75" s="6">
        <v>2.8999999999999998E-3</v>
      </c>
    </row>
    <row r="76" spans="2:15" x14ac:dyDescent="0.25">
      <c r="B76" s="15" t="s">
        <v>345</v>
      </c>
      <c r="C76" s="6">
        <v>1.9E-3</v>
      </c>
      <c r="D76" s="6">
        <v>2.7000000000000001E-3</v>
      </c>
      <c r="F76" s="15" t="s">
        <v>345</v>
      </c>
      <c r="G76" s="6">
        <v>1.8E-3</v>
      </c>
      <c r="H76" s="6">
        <v>2.5000000000000001E-3</v>
      </c>
      <c r="J76" s="22" t="s">
        <v>345</v>
      </c>
      <c r="K76" s="6">
        <v>1.8E-3</v>
      </c>
      <c r="L76" s="6">
        <v>2.5000000000000001E-3</v>
      </c>
    </row>
    <row r="77" spans="2:15" x14ac:dyDescent="0.25">
      <c r="B77" s="15" t="s">
        <v>346</v>
      </c>
      <c r="C77" s="6">
        <v>3.5999999999999999E-3</v>
      </c>
      <c r="D77" s="6">
        <v>3.8E-3</v>
      </c>
      <c r="F77" s="15" t="s">
        <v>346</v>
      </c>
      <c r="G77" s="6">
        <v>3.0000000000000001E-3</v>
      </c>
      <c r="H77" s="6">
        <v>3.5000000000000001E-3</v>
      </c>
      <c r="J77" s="22" t="s">
        <v>346</v>
      </c>
      <c r="K77" s="6">
        <v>3.0000000000000001E-3</v>
      </c>
      <c r="L77" s="6">
        <v>3.5000000000000001E-3</v>
      </c>
    </row>
    <row r="78" spans="2:15" x14ac:dyDescent="0.25">
      <c r="B78" s="15" t="s">
        <v>347</v>
      </c>
      <c r="C78" s="6">
        <v>7.4000000000000003E-3</v>
      </c>
      <c r="D78" s="6">
        <v>6.4000000000000003E-3</v>
      </c>
      <c r="F78" s="15" t="s">
        <v>347</v>
      </c>
      <c r="G78" s="6">
        <v>5.5999999999999999E-3</v>
      </c>
      <c r="H78" s="6">
        <v>4.7999999999999996E-3</v>
      </c>
      <c r="J78" s="22" t="s">
        <v>347</v>
      </c>
      <c r="K78" s="6">
        <v>5.5999999999999999E-3</v>
      </c>
      <c r="L78" s="6">
        <v>4.7999999999999996E-3</v>
      </c>
    </row>
    <row r="79" spans="2:15" x14ac:dyDescent="0.25">
      <c r="B79" s="15" t="s">
        <v>348</v>
      </c>
      <c r="C79" s="6">
        <v>1.47E-2</v>
      </c>
      <c r="D79" s="6">
        <v>1.18E-2</v>
      </c>
      <c r="F79" s="15" t="s">
        <v>348</v>
      </c>
      <c r="G79" s="6">
        <v>1.0699999999999999E-2</v>
      </c>
      <c r="H79" s="6">
        <v>7.7000000000000002E-3</v>
      </c>
      <c r="J79" s="22" t="s">
        <v>348</v>
      </c>
      <c r="K79" s="6">
        <v>1.0699999999999999E-2</v>
      </c>
      <c r="L79" s="6">
        <v>7.7000000000000002E-3</v>
      </c>
    </row>
    <row r="80" spans="2:15" x14ac:dyDescent="0.25">
      <c r="B80" s="15" t="s">
        <v>349</v>
      </c>
      <c r="C80" s="6">
        <v>1.9199999999999998E-2</v>
      </c>
      <c r="D80" s="6">
        <v>2.06E-2</v>
      </c>
      <c r="F80" s="15" t="s">
        <v>349</v>
      </c>
      <c r="G80" s="6">
        <v>1.38E-2</v>
      </c>
      <c r="H80" s="6">
        <v>1.2200000000000001E-2</v>
      </c>
      <c r="J80" s="22" t="s">
        <v>349</v>
      </c>
      <c r="K80" s="6">
        <v>1.38E-2</v>
      </c>
      <c r="L80" s="6">
        <v>1.2200000000000001E-2</v>
      </c>
    </row>
    <row r="81" spans="1:50" x14ac:dyDescent="0.25">
      <c r="B81" s="15" t="s">
        <v>350</v>
      </c>
      <c r="C81" s="6">
        <v>1.4500000000000001E-2</v>
      </c>
      <c r="D81" s="6">
        <v>2.1100000000000001E-2</v>
      </c>
      <c r="F81" s="15" t="s">
        <v>350</v>
      </c>
      <c r="G81" s="6">
        <v>1.0999999999999999E-2</v>
      </c>
      <c r="H81" s="6">
        <v>1.32E-2</v>
      </c>
      <c r="J81" s="22" t="s">
        <v>350</v>
      </c>
      <c r="K81" s="6">
        <v>1.0999999999999999E-2</v>
      </c>
      <c r="L81" s="6">
        <v>1.32E-2</v>
      </c>
    </row>
    <row r="82" spans="1:50" x14ac:dyDescent="0.25">
      <c r="B82" s="15" t="s">
        <v>351</v>
      </c>
      <c r="C82" s="6">
        <v>1.29E-2</v>
      </c>
      <c r="D82" s="6">
        <v>2.1499999999999998E-2</v>
      </c>
      <c r="F82" s="15" t="s">
        <v>351</v>
      </c>
      <c r="G82" s="6">
        <v>1.01E-2</v>
      </c>
      <c r="H82" s="6">
        <v>1.4E-2</v>
      </c>
      <c r="J82" s="22" t="s">
        <v>351</v>
      </c>
      <c r="K82" s="6">
        <v>1.01E-2</v>
      </c>
      <c r="L82" s="6">
        <v>1.4E-2</v>
      </c>
    </row>
    <row r="83" spans="1:50" x14ac:dyDescent="0.25">
      <c r="B83" s="15" t="s">
        <v>352</v>
      </c>
      <c r="C83" s="6">
        <v>1.0200000000000001E-2</v>
      </c>
      <c r="D83" s="6">
        <v>1.7100000000000001E-2</v>
      </c>
      <c r="F83" s="15" t="s">
        <v>352</v>
      </c>
      <c r="G83" s="6">
        <v>8.9999999999999993E-3</v>
      </c>
      <c r="H83" s="6">
        <v>1.3299999999999999E-2</v>
      </c>
      <c r="J83" s="22" t="s">
        <v>352</v>
      </c>
      <c r="K83" s="6">
        <v>8.9999999999999993E-3</v>
      </c>
      <c r="L83" s="6">
        <v>1.3299999999999999E-2</v>
      </c>
    </row>
    <row r="84" spans="1:50" x14ac:dyDescent="0.25">
      <c r="B84" s="15" t="s">
        <v>353</v>
      </c>
      <c r="C84" s="6">
        <v>1.12E-2</v>
      </c>
      <c r="D84" s="6">
        <v>1.6799999999999999E-2</v>
      </c>
      <c r="F84" s="15" t="s">
        <v>353</v>
      </c>
      <c r="G84" s="6">
        <v>1.0200000000000001E-2</v>
      </c>
      <c r="H84" s="6">
        <v>1.46E-2</v>
      </c>
      <c r="J84" s="22" t="s">
        <v>353</v>
      </c>
      <c r="K84" s="6">
        <v>1.0200000000000001E-2</v>
      </c>
      <c r="L84" s="6">
        <v>1.46E-2</v>
      </c>
    </row>
    <row r="85" spans="1:50" x14ac:dyDescent="0.25">
      <c r="B85" s="15" t="s">
        <v>354</v>
      </c>
      <c r="C85" s="6">
        <v>1.5299999999999999E-2</v>
      </c>
      <c r="D85" s="6">
        <v>2.1600000000000001E-2</v>
      </c>
      <c r="F85" s="15" t="s">
        <v>354</v>
      </c>
      <c r="G85" s="6">
        <v>1.46E-2</v>
      </c>
      <c r="H85" s="6">
        <v>2.0299999999999999E-2</v>
      </c>
      <c r="J85" s="22" t="s">
        <v>354</v>
      </c>
      <c r="K85" s="6">
        <v>1.46E-2</v>
      </c>
      <c r="L85" s="6">
        <v>2.0299999999999999E-2</v>
      </c>
    </row>
    <row r="86" spans="1:50" x14ac:dyDescent="0.25">
      <c r="B86" s="15" t="s">
        <v>355</v>
      </c>
      <c r="C86" s="6">
        <v>2.41E-2</v>
      </c>
      <c r="D86" s="6">
        <v>3.1399999999999997E-2</v>
      </c>
      <c r="F86" s="15" t="s">
        <v>355</v>
      </c>
      <c r="G86" s="6">
        <v>2.3099999999999999E-2</v>
      </c>
      <c r="H86" s="6">
        <v>0.03</v>
      </c>
      <c r="J86" s="22" t="s">
        <v>355</v>
      </c>
      <c r="K86" s="6">
        <v>2.3099999999999999E-2</v>
      </c>
      <c r="L86" s="6">
        <v>0.03</v>
      </c>
    </row>
    <row r="87" spans="1:50" x14ac:dyDescent="0.25">
      <c r="B87" s="15" t="s">
        <v>356</v>
      </c>
      <c r="C87" s="6">
        <v>4.0399999999999998E-2</v>
      </c>
      <c r="D87" s="6">
        <v>4.7600000000000003E-2</v>
      </c>
      <c r="F87" s="15" t="s">
        <v>356</v>
      </c>
      <c r="G87" s="6">
        <v>3.78E-2</v>
      </c>
      <c r="H87" s="6">
        <v>4.6600000000000003E-2</v>
      </c>
      <c r="J87" s="22" t="s">
        <v>356</v>
      </c>
      <c r="K87" s="6">
        <v>3.78E-2</v>
      </c>
      <c r="L87" s="6">
        <v>4.6600000000000003E-2</v>
      </c>
    </row>
    <row r="88" spans="1:50" x14ac:dyDescent="0.25">
      <c r="B88" s="15" t="s">
        <v>357</v>
      </c>
      <c r="C88" s="6">
        <v>7.1400000000000005E-2</v>
      </c>
      <c r="D88" s="6">
        <v>7.5899999999999995E-2</v>
      </c>
      <c r="F88" s="15" t="s">
        <v>357</v>
      </c>
      <c r="G88" s="6">
        <v>6.3100000000000003E-2</v>
      </c>
      <c r="H88" s="6">
        <v>7.4999999999999997E-2</v>
      </c>
      <c r="J88" s="22" t="s">
        <v>357</v>
      </c>
      <c r="K88" s="6">
        <v>6.3100000000000003E-2</v>
      </c>
      <c r="L88" s="6">
        <v>7.4999999999999997E-2</v>
      </c>
    </row>
    <row r="89" spans="1:50" x14ac:dyDescent="0.25">
      <c r="B89" s="15" t="s">
        <v>328</v>
      </c>
      <c r="C89" s="6">
        <v>0.2152</v>
      </c>
      <c r="D89" s="6">
        <v>0.22819999999999999</v>
      </c>
      <c r="F89" s="15" t="s">
        <v>328</v>
      </c>
      <c r="G89" s="6">
        <v>0.21279999999999999</v>
      </c>
      <c r="H89" s="6">
        <v>0.2495</v>
      </c>
      <c r="J89" s="22" t="s">
        <v>328</v>
      </c>
      <c r="K89" s="6">
        <v>0.21279999999999999</v>
      </c>
      <c r="L89" s="6">
        <v>0.2495</v>
      </c>
    </row>
    <row r="91" spans="1:50" x14ac:dyDescent="0.25">
      <c r="U91" t="s">
        <v>1232</v>
      </c>
      <c r="AF91" t="s">
        <v>1233</v>
      </c>
    </row>
    <row r="92" spans="1:50" x14ac:dyDescent="0.25">
      <c r="A92" s="2" t="s">
        <v>1074</v>
      </c>
      <c r="R92" t="s">
        <v>1234</v>
      </c>
      <c r="U92" t="s">
        <v>1229</v>
      </c>
      <c r="V92">
        <v>0.5</v>
      </c>
      <c r="W92" t="s">
        <v>1228</v>
      </c>
      <c r="X92">
        <v>0.4</v>
      </c>
      <c r="Y92">
        <v>2015</v>
      </c>
      <c r="Z92">
        <v>0.25</v>
      </c>
      <c r="AA92" t="s">
        <v>1230</v>
      </c>
      <c r="AB92">
        <v>0.15</v>
      </c>
      <c r="AC92" t="s">
        <v>1231</v>
      </c>
      <c r="AD92">
        <v>0.15</v>
      </c>
      <c r="AF92" s="37" t="s">
        <v>1229</v>
      </c>
      <c r="AG92" s="37"/>
      <c r="AH92" s="37" t="s">
        <v>1228</v>
      </c>
      <c r="AI92" s="37"/>
      <c r="AJ92" s="37">
        <v>2015</v>
      </c>
      <c r="AK92" s="37"/>
      <c r="AL92" s="37" t="s">
        <v>1230</v>
      </c>
      <c r="AM92" s="37"/>
      <c r="AN92" s="37" t="s">
        <v>1231</v>
      </c>
      <c r="AO92" s="37"/>
      <c r="AP92" s="37"/>
      <c r="AQ92" s="37"/>
      <c r="AR92" s="37"/>
      <c r="AS92" s="37"/>
      <c r="AT92" s="37"/>
      <c r="AU92" s="37"/>
      <c r="AV92" s="37"/>
      <c r="AW92" s="37"/>
      <c r="AX92" s="37"/>
    </row>
    <row r="93" spans="1:50" x14ac:dyDescent="0.25">
      <c r="B93" s="64" t="s">
        <v>1043</v>
      </c>
      <c r="C93" s="64" t="s">
        <v>217</v>
      </c>
      <c r="D93" s="64" t="s">
        <v>215</v>
      </c>
      <c r="E93" s="64"/>
      <c r="F93" s="64" t="s">
        <v>1077</v>
      </c>
      <c r="G93" s="64" t="s">
        <v>217</v>
      </c>
      <c r="H93" s="64" t="s">
        <v>215</v>
      </c>
      <c r="I93" s="64"/>
      <c r="J93" s="64">
        <v>2000</v>
      </c>
      <c r="K93" s="64" t="s">
        <v>223</v>
      </c>
      <c r="L93" s="64" t="s">
        <v>222</v>
      </c>
      <c r="M93" s="64"/>
      <c r="N93" s="64">
        <v>2020</v>
      </c>
      <c r="O93" s="64" t="s">
        <v>223</v>
      </c>
      <c r="P93" s="64" t="s">
        <v>222</v>
      </c>
      <c r="R93" s="37" t="s">
        <v>1229</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I114</f>
        <v>5.4780631519999998E-2</v>
      </c>
      <c r="H94" s="64">
        <f>I118</f>
        <v>4.5720509880000003E-2</v>
      </c>
      <c r="I94" s="64"/>
      <c r="J94" s="64"/>
      <c r="K94" s="64">
        <f>N114</f>
        <v>4.5958849879999999E-2</v>
      </c>
      <c r="L94" s="64">
        <f>N118</f>
        <v>4.0003939320000001E-2</v>
      </c>
      <c r="M94" s="64"/>
      <c r="N94" s="64"/>
      <c r="O94" s="64">
        <f>R114</f>
        <v>2.2612605799999998E-2</v>
      </c>
      <c r="P94" s="64">
        <f>R118</f>
        <v>1.7034810039999997E-2</v>
      </c>
      <c r="R94" s="37" t="s">
        <v>1228</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1230</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1231</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2" spans="2:46" x14ac:dyDescent="0.25">
      <c r="B112" t="s">
        <v>1043</v>
      </c>
      <c r="G112" t="s">
        <v>1050</v>
      </c>
      <c r="K112" s="37" t="s">
        <v>1053</v>
      </c>
      <c r="P112" t="s">
        <v>1057</v>
      </c>
    </row>
    <row r="113" spans="2:18" x14ac:dyDescent="0.25">
      <c r="B113" t="s">
        <v>217</v>
      </c>
      <c r="C113" t="s">
        <v>1080</v>
      </c>
      <c r="D113" t="s">
        <v>1083</v>
      </c>
      <c r="E113" t="s">
        <v>1082</v>
      </c>
      <c r="G113" s="37" t="s">
        <v>217</v>
      </c>
      <c r="H113" s="37" t="s">
        <v>1080</v>
      </c>
      <c r="I113" s="37" t="s">
        <v>1082</v>
      </c>
      <c r="K113" s="37" t="s">
        <v>217</v>
      </c>
      <c r="L113" t="s">
        <v>1080</v>
      </c>
      <c r="M113" s="37" t="s">
        <v>1083</v>
      </c>
      <c r="N113" t="s">
        <v>1125</v>
      </c>
      <c r="P113" s="37" t="s">
        <v>217</v>
      </c>
      <c r="R113" t="s">
        <v>1125</v>
      </c>
    </row>
    <row r="114" spans="2:18" x14ac:dyDescent="0.25">
      <c r="B114" t="s">
        <v>1078</v>
      </c>
      <c r="C114">
        <v>0.17136388999999999</v>
      </c>
      <c r="D114">
        <v>0.5</v>
      </c>
      <c r="E114">
        <f>(C114*D114)+(C115*D115)</f>
        <v>0.103242926</v>
      </c>
      <c r="G114" s="37" t="s">
        <v>1078</v>
      </c>
      <c r="H114">
        <v>8.5002657999999995E-2</v>
      </c>
      <c r="I114">
        <f>(H114*M114)+(H115*M115)</f>
        <v>5.4780631519999998E-2</v>
      </c>
      <c r="K114" s="37" t="s">
        <v>1078</v>
      </c>
      <c r="L114" s="37">
        <v>7.0362258999999996E-2</v>
      </c>
      <c r="M114" s="37">
        <v>0.6</v>
      </c>
      <c r="N114">
        <f>(L114*M114)+(L115*M115)</f>
        <v>4.5958849879999999E-2</v>
      </c>
      <c r="P114" s="37" t="s">
        <v>1078</v>
      </c>
      <c r="Q114" s="37">
        <v>3.5942957999999997E-2</v>
      </c>
      <c r="R114">
        <f>(Q114*M114)+(Q115*M115)</f>
        <v>2.2612605799999998E-2</v>
      </c>
    </row>
    <row r="115" spans="2:18" x14ac:dyDescent="0.25">
      <c r="B115" t="s">
        <v>1079</v>
      </c>
      <c r="C115">
        <v>3.5121962E-2</v>
      </c>
      <c r="D115">
        <f>1-D114</f>
        <v>0.5</v>
      </c>
      <c r="G115" s="37" t="s">
        <v>1079</v>
      </c>
      <c r="H115">
        <v>9.4475918000000002E-3</v>
      </c>
      <c r="K115" s="37" t="s">
        <v>1079</v>
      </c>
      <c r="L115" s="37">
        <v>9.3537362000000006E-3</v>
      </c>
      <c r="M115" s="37">
        <f>1-M114</f>
        <v>0.4</v>
      </c>
      <c r="P115" s="37" t="s">
        <v>1079</v>
      </c>
      <c r="Q115" s="37">
        <v>2.6170774999999999E-3</v>
      </c>
    </row>
    <row r="116" spans="2:18" x14ac:dyDescent="0.25">
      <c r="K116" s="37"/>
      <c r="M116" s="37"/>
      <c r="P116" s="37"/>
    </row>
    <row r="117" spans="2:18" x14ac:dyDescent="0.25">
      <c r="B117" s="37" t="s">
        <v>1081</v>
      </c>
      <c r="C117" s="37" t="s">
        <v>1080</v>
      </c>
      <c r="D117" s="37" t="s">
        <v>1083</v>
      </c>
      <c r="E117" t="s">
        <v>1082</v>
      </c>
      <c r="G117" s="37" t="s">
        <v>1081</v>
      </c>
      <c r="H117" s="37" t="s">
        <v>1080</v>
      </c>
      <c r="I117" s="37" t="s">
        <v>1082</v>
      </c>
      <c r="K117" s="37" t="s">
        <v>1081</v>
      </c>
      <c r="M117" s="37" t="s">
        <v>1083</v>
      </c>
      <c r="P117" s="37" t="s">
        <v>1081</v>
      </c>
    </row>
    <row r="118" spans="2:18" x14ac:dyDescent="0.25">
      <c r="B118" s="37" t="s">
        <v>1078</v>
      </c>
      <c r="C118" s="37">
        <v>0.14335649</v>
      </c>
      <c r="D118" s="37">
        <v>0.5</v>
      </c>
      <c r="E118">
        <f>(C118*D118)+(C119*D119)</f>
        <v>8.7651773500000002E-2</v>
      </c>
      <c r="G118" s="37" t="s">
        <v>1078</v>
      </c>
      <c r="H118">
        <v>7.0442296000000001E-2</v>
      </c>
      <c r="I118">
        <f>(H118*M118)+(H119*M119)</f>
        <v>4.5720509880000003E-2</v>
      </c>
      <c r="K118" s="37" t="s">
        <v>1078</v>
      </c>
      <c r="L118" s="37">
        <v>6.1459527999999999E-2</v>
      </c>
      <c r="M118" s="37">
        <v>0.6</v>
      </c>
      <c r="N118">
        <f>(L118*M118)+(L119*M119)</f>
        <v>4.0003939320000001E-2</v>
      </c>
      <c r="P118" s="37" t="s">
        <v>1078</v>
      </c>
      <c r="Q118" s="37">
        <v>2.6885009000000001E-2</v>
      </c>
      <c r="R118">
        <f>(Q118*M118)+(Q119*M119)</f>
        <v>1.7034810039999997E-2</v>
      </c>
    </row>
    <row r="119" spans="2:18" x14ac:dyDescent="0.25">
      <c r="B119" s="37" t="s">
        <v>1079</v>
      </c>
      <c r="C119" s="37">
        <v>3.1947057000000001E-2</v>
      </c>
      <c r="D119" s="37">
        <f>1-D118</f>
        <v>0.5</v>
      </c>
      <c r="G119" s="37" t="s">
        <v>1079</v>
      </c>
      <c r="H119">
        <v>8.6378306999999998E-3</v>
      </c>
      <c r="K119" s="37" t="s">
        <v>1079</v>
      </c>
      <c r="L119" s="37">
        <v>7.8205562999999999E-3</v>
      </c>
      <c r="M119" s="37">
        <f>1-M118</f>
        <v>0.4</v>
      </c>
      <c r="P119" s="37" t="s">
        <v>1079</v>
      </c>
      <c r="Q119" s="37">
        <v>2.2595115999999998E-3</v>
      </c>
    </row>
    <row r="121" spans="2:18" x14ac:dyDescent="0.25">
      <c r="C121">
        <v>0</v>
      </c>
      <c r="D121">
        <v>1</v>
      </c>
      <c r="E121">
        <v>2</v>
      </c>
      <c r="F121">
        <v>3</v>
      </c>
      <c r="G121">
        <v>4</v>
      </c>
    </row>
    <row r="122" spans="2:18"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8" x14ac:dyDescent="0.25">
      <c r="B123">
        <v>2</v>
      </c>
      <c r="D123">
        <v>100</v>
      </c>
      <c r="E123">
        <f>D123-(D123*C114)</f>
        <v>82.863611000000006</v>
      </c>
      <c r="F123">
        <f>E123-(E123*C115)</f>
        <v>79.95327840327522</v>
      </c>
      <c r="G123">
        <f>F123-(F123*C115)</f>
        <v>77.145162397419966</v>
      </c>
    </row>
    <row r="124" spans="2:18" x14ac:dyDescent="0.25">
      <c r="B124">
        <v>2</v>
      </c>
      <c r="E124">
        <v>100</v>
      </c>
      <c r="F124">
        <v>82.863611000000006</v>
      </c>
      <c r="G124">
        <v>79.95327840327522</v>
      </c>
    </row>
    <row r="125" spans="2:18" x14ac:dyDescent="0.25">
      <c r="B125">
        <v>3</v>
      </c>
      <c r="F125">
        <v>100</v>
      </c>
      <c r="G125" s="37">
        <v>82.863611000000006</v>
      </c>
    </row>
    <row r="126" spans="2:18" x14ac:dyDescent="0.25">
      <c r="B126">
        <v>4</v>
      </c>
      <c r="G126">
        <v>100</v>
      </c>
    </row>
    <row r="127" spans="2:18" x14ac:dyDescent="0.25">
      <c r="H127">
        <f>SUM(C122:G126)</f>
        <v>1300.0402769398795</v>
      </c>
      <c r="I127">
        <f>500/H127</f>
        <v>0.38460346873016349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219" workbookViewId="0">
      <selection activeCell="G249" sqref="G249"/>
    </sheetView>
  </sheetViews>
  <sheetFormatPr defaultRowHeight="15" x14ac:dyDescent="0.25"/>
  <cols>
    <col min="3" max="3" width="11" bestFit="1" customWidth="1"/>
    <col min="4" max="4" width="12.42578125" customWidth="1"/>
    <col min="5" max="5" width="15.140625" customWidth="1"/>
  </cols>
  <sheetData>
    <row r="1" spans="1:8" x14ac:dyDescent="0.25">
      <c r="A1" s="2" t="s">
        <v>556</v>
      </c>
    </row>
    <row r="2" spans="1:8" x14ac:dyDescent="0.25">
      <c r="A2" t="s">
        <v>571</v>
      </c>
      <c r="B2" t="s">
        <v>284</v>
      </c>
      <c r="C2" t="s">
        <v>244</v>
      </c>
      <c r="D2" t="s">
        <v>246</v>
      </c>
      <c r="E2" t="s">
        <v>249</v>
      </c>
      <c r="F2" t="s">
        <v>248</v>
      </c>
    </row>
    <row r="3" spans="1:8" x14ac:dyDescent="0.25">
      <c r="A3" t="s">
        <v>573</v>
      </c>
      <c r="B3" t="s">
        <v>285</v>
      </c>
      <c r="C3" t="s">
        <v>245</v>
      </c>
      <c r="D3" t="s">
        <v>247</v>
      </c>
      <c r="E3" s="11" t="s">
        <v>250</v>
      </c>
      <c r="F3" s="12">
        <v>0.113</v>
      </c>
      <c r="H3" t="s">
        <v>555</v>
      </c>
    </row>
    <row r="4" spans="1:8" x14ac:dyDescent="0.25">
      <c r="D4" t="s">
        <v>552</v>
      </c>
      <c r="E4" s="11" t="s">
        <v>250</v>
      </c>
      <c r="F4" s="12">
        <v>9.4E-2</v>
      </c>
    </row>
    <row r="5" spans="1:8" x14ac:dyDescent="0.25">
      <c r="D5" t="s">
        <v>553</v>
      </c>
      <c r="E5" s="11" t="s">
        <v>250</v>
      </c>
      <c r="F5" s="13">
        <v>0.11</v>
      </c>
    </row>
    <row r="6" spans="1:8" x14ac:dyDescent="0.25">
      <c r="D6" t="s">
        <v>554</v>
      </c>
      <c r="E6" s="11" t="s">
        <v>250</v>
      </c>
      <c r="F6" s="12">
        <v>0.155</v>
      </c>
    </row>
    <row r="7" spans="1:8" x14ac:dyDescent="0.25">
      <c r="D7" s="21" t="s">
        <v>247</v>
      </c>
      <c r="E7" s="11" t="s">
        <v>251</v>
      </c>
      <c r="F7" s="12">
        <v>0.14299999999999999</v>
      </c>
    </row>
    <row r="8" spans="1:8" x14ac:dyDescent="0.25">
      <c r="D8" s="21" t="s">
        <v>552</v>
      </c>
      <c r="E8" s="11" t="s">
        <v>251</v>
      </c>
      <c r="F8" s="12">
        <v>0.17799999999999999</v>
      </c>
    </row>
    <row r="9" spans="1:8" x14ac:dyDescent="0.25">
      <c r="D9" s="21" t="s">
        <v>553</v>
      </c>
      <c r="E9" s="11" t="s">
        <v>251</v>
      </c>
      <c r="F9" s="12">
        <v>0.22800000000000001</v>
      </c>
    </row>
    <row r="10" spans="1:8" x14ac:dyDescent="0.25">
      <c r="D10" s="21" t="s">
        <v>554</v>
      </c>
      <c r="E10" s="11" t="s">
        <v>251</v>
      </c>
      <c r="F10" s="12">
        <v>0.13200000000000001</v>
      </c>
    </row>
    <row r="11" spans="1:8" x14ac:dyDescent="0.25">
      <c r="D11" s="21" t="s">
        <v>247</v>
      </c>
      <c r="E11" t="s">
        <v>252</v>
      </c>
      <c r="F11" s="12">
        <v>0.16500000000000001</v>
      </c>
    </row>
    <row r="12" spans="1:8" x14ac:dyDescent="0.25">
      <c r="D12" s="21" t="s">
        <v>552</v>
      </c>
      <c r="E12" s="21" t="s">
        <v>252</v>
      </c>
      <c r="F12" s="12">
        <v>9.4E-2</v>
      </c>
    </row>
    <row r="13" spans="1:8" x14ac:dyDescent="0.25">
      <c r="D13" s="21" t="s">
        <v>553</v>
      </c>
      <c r="E13" s="21" t="s">
        <v>252</v>
      </c>
      <c r="F13" s="12">
        <v>0.11799999999999999</v>
      </c>
    </row>
    <row r="14" spans="1:8" x14ac:dyDescent="0.25">
      <c r="D14" s="21" t="s">
        <v>554</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582</v>
      </c>
    </row>
    <row r="28" spans="1:8" x14ac:dyDescent="0.25">
      <c r="A28" t="s">
        <v>566</v>
      </c>
      <c r="B28" t="s">
        <v>286</v>
      </c>
      <c r="C28" t="s">
        <v>244</v>
      </c>
      <c r="D28" t="s">
        <v>246</v>
      </c>
      <c r="E28" t="s">
        <v>249</v>
      </c>
      <c r="F28" t="s">
        <v>248</v>
      </c>
    </row>
    <row r="29" spans="1:8" x14ac:dyDescent="0.25">
      <c r="A29" t="s">
        <v>572</v>
      </c>
      <c r="B29" t="s">
        <v>287</v>
      </c>
      <c r="C29" t="s">
        <v>266</v>
      </c>
      <c r="D29" t="s">
        <v>267</v>
      </c>
      <c r="E29" s="11" t="s">
        <v>254</v>
      </c>
      <c r="F29" t="s">
        <v>268</v>
      </c>
      <c r="H29" t="s">
        <v>557</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550</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546</v>
      </c>
      <c r="F54" s="12">
        <v>0.14499999999999999</v>
      </c>
    </row>
    <row r="55" spans="4:6" s="21" customFormat="1" x14ac:dyDescent="0.25">
      <c r="D55" s="21" t="s">
        <v>140</v>
      </c>
      <c r="E55" s="11" t="s">
        <v>546</v>
      </c>
      <c r="F55" s="12">
        <v>9.7000000000000003E-2</v>
      </c>
    </row>
    <row r="56" spans="4:6" s="21" customFormat="1" x14ac:dyDescent="0.25">
      <c r="D56" s="21" t="s">
        <v>141</v>
      </c>
      <c r="E56" s="11" t="s">
        <v>546</v>
      </c>
      <c r="F56" s="12">
        <v>5.9299999999999999E-2</v>
      </c>
    </row>
    <row r="57" spans="4:6" s="21" customFormat="1" x14ac:dyDescent="0.25">
      <c r="D57" s="21" t="s">
        <v>142</v>
      </c>
      <c r="E57" s="11" t="s">
        <v>546</v>
      </c>
      <c r="F57" s="12">
        <v>1.4200000000000001E-2</v>
      </c>
    </row>
    <row r="58" spans="4:6" s="21" customFormat="1" x14ac:dyDescent="0.25">
      <c r="D58" s="21" t="s">
        <v>143</v>
      </c>
      <c r="E58" s="11" t="s">
        <v>546</v>
      </c>
      <c r="F58" s="12">
        <v>4.3499999999999997E-2</v>
      </c>
    </row>
    <row r="59" spans="4:6" s="21" customFormat="1" x14ac:dyDescent="0.25">
      <c r="D59" s="21" t="s">
        <v>392</v>
      </c>
      <c r="E59" s="11" t="s">
        <v>546</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547</v>
      </c>
      <c r="E66" s="11" t="s">
        <v>255</v>
      </c>
      <c r="F66" s="12">
        <v>0.745</v>
      </c>
      <c r="G66">
        <v>60.36</v>
      </c>
      <c r="H66">
        <v>84.88</v>
      </c>
      <c r="I66" t="s">
        <v>549</v>
      </c>
    </row>
    <row r="67" spans="1:11" s="21" customFormat="1" x14ac:dyDescent="0.25">
      <c r="B67" s="21" t="s">
        <v>548</v>
      </c>
      <c r="D67" s="21" t="s">
        <v>547</v>
      </c>
      <c r="E67" s="11" t="s">
        <v>255</v>
      </c>
      <c r="F67" s="12">
        <v>0.249</v>
      </c>
      <c r="G67" s="21">
        <v>20.68</v>
      </c>
      <c r="H67" s="21">
        <v>29.57</v>
      </c>
    </row>
    <row r="68" spans="1:11" s="37" customFormat="1" x14ac:dyDescent="0.25">
      <c r="B68" s="37" t="s">
        <v>646</v>
      </c>
      <c r="D68" s="37" t="s">
        <v>547</v>
      </c>
      <c r="E68" s="11" t="s">
        <v>255</v>
      </c>
      <c r="F68" s="12">
        <v>0.43822843822843821</v>
      </c>
    </row>
    <row r="69" spans="1:11" s="21" customFormat="1" x14ac:dyDescent="0.25">
      <c r="E69" s="11"/>
      <c r="F69" s="12"/>
    </row>
    <row r="70" spans="1:11" x14ac:dyDescent="0.25">
      <c r="A70" s="2" t="s">
        <v>538</v>
      </c>
    </row>
    <row r="71" spans="1:11" x14ac:dyDescent="0.25">
      <c r="A71" t="s">
        <v>571</v>
      </c>
      <c r="B71" t="s">
        <v>286</v>
      </c>
      <c r="C71" t="s">
        <v>244</v>
      </c>
      <c r="D71" t="s">
        <v>246</v>
      </c>
      <c r="E71" t="s">
        <v>249</v>
      </c>
      <c r="F71" t="s">
        <v>248</v>
      </c>
      <c r="G71" t="s">
        <v>106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539</v>
      </c>
      <c r="F76" s="12">
        <v>0.82299999999999995</v>
      </c>
      <c r="H76" s="11"/>
    </row>
    <row r="77" spans="1:11" s="21" customFormat="1" x14ac:dyDescent="0.25">
      <c r="E77" s="21" t="s">
        <v>540</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541</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542</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543</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544</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545</v>
      </c>
    </row>
    <row r="105" spans="1:7" x14ac:dyDescent="0.25">
      <c r="A105" s="21" t="s">
        <v>566</v>
      </c>
      <c r="B105" t="s">
        <v>286</v>
      </c>
      <c r="C105" t="s">
        <v>244</v>
      </c>
      <c r="D105" t="s">
        <v>246</v>
      </c>
      <c r="E105" t="s">
        <v>249</v>
      </c>
      <c r="F105" t="s">
        <v>248</v>
      </c>
    </row>
    <row r="106" spans="1:7" x14ac:dyDescent="0.25">
      <c r="A106" t="s">
        <v>581</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558</v>
      </c>
    </row>
    <row r="119" spans="1:6" x14ac:dyDescent="0.25">
      <c r="A119" s="21" t="s">
        <v>566</v>
      </c>
      <c r="B119" s="21" t="s">
        <v>286</v>
      </c>
      <c r="C119" s="21" t="s">
        <v>244</v>
      </c>
      <c r="D119" s="21" t="s">
        <v>246</v>
      </c>
      <c r="E119" s="21" t="s">
        <v>249</v>
      </c>
      <c r="F119" s="21" t="s">
        <v>248</v>
      </c>
    </row>
    <row r="120" spans="1:6" x14ac:dyDescent="0.25">
      <c r="A120">
        <v>2008</v>
      </c>
      <c r="B120" t="s">
        <v>560</v>
      </c>
      <c r="C120" t="s">
        <v>266</v>
      </c>
      <c r="D120" t="s">
        <v>559</v>
      </c>
      <c r="E120" t="s">
        <v>561</v>
      </c>
      <c r="F120" s="12">
        <v>0.60199999999999998</v>
      </c>
    </row>
    <row r="121" spans="1:6" x14ac:dyDescent="0.25">
      <c r="B121" t="s">
        <v>562</v>
      </c>
      <c r="C121" t="s">
        <v>266</v>
      </c>
      <c r="D121" t="s">
        <v>559</v>
      </c>
      <c r="E121" t="s">
        <v>561</v>
      </c>
      <c r="F121" s="12">
        <v>0.33600000000000002</v>
      </c>
    </row>
    <row r="123" spans="1:6" x14ac:dyDescent="0.25">
      <c r="A123" s="2" t="s">
        <v>563</v>
      </c>
    </row>
    <row r="124" spans="1:6" x14ac:dyDescent="0.25">
      <c r="A124" t="s">
        <v>566</v>
      </c>
      <c r="B124" s="21" t="s">
        <v>286</v>
      </c>
      <c r="C124" s="21" t="s">
        <v>244</v>
      </c>
      <c r="D124" s="21" t="s">
        <v>246</v>
      </c>
      <c r="E124" s="21" t="s">
        <v>249</v>
      </c>
      <c r="F124" s="21" t="s">
        <v>248</v>
      </c>
    </row>
    <row r="125" spans="1:6" x14ac:dyDescent="0.25">
      <c r="A125" t="s">
        <v>570</v>
      </c>
      <c r="B125" t="s">
        <v>560</v>
      </c>
      <c r="C125" t="s">
        <v>266</v>
      </c>
      <c r="D125" t="s">
        <v>564</v>
      </c>
      <c r="E125" t="s">
        <v>255</v>
      </c>
      <c r="F125" s="12">
        <v>0.64900000000000002</v>
      </c>
    </row>
    <row r="126" spans="1:6" x14ac:dyDescent="0.25">
      <c r="B126" t="s">
        <v>562</v>
      </c>
      <c r="D126" t="s">
        <v>565</v>
      </c>
      <c r="E126" t="s">
        <v>255</v>
      </c>
      <c r="F126" s="12">
        <v>0.28199999999999997</v>
      </c>
    </row>
    <row r="128" spans="1:6" x14ac:dyDescent="0.25">
      <c r="A128" s="2" t="s">
        <v>567</v>
      </c>
    </row>
    <row r="129" spans="1:8" x14ac:dyDescent="0.25">
      <c r="A129" s="21" t="s">
        <v>566</v>
      </c>
      <c r="B129" s="21" t="s">
        <v>286</v>
      </c>
      <c r="C129" s="21" t="s">
        <v>244</v>
      </c>
      <c r="D129" s="21" t="s">
        <v>246</v>
      </c>
      <c r="E129" s="21" t="s">
        <v>249</v>
      </c>
      <c r="F129" s="21" t="s">
        <v>248</v>
      </c>
    </row>
    <row r="130" spans="1:8" x14ac:dyDescent="0.25">
      <c r="A130" t="s">
        <v>570</v>
      </c>
      <c r="B130" t="s">
        <v>560</v>
      </c>
      <c r="C130" t="s">
        <v>266</v>
      </c>
      <c r="D130" t="s">
        <v>568</v>
      </c>
      <c r="E130" t="s">
        <v>254</v>
      </c>
      <c r="F130" s="13">
        <v>1</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569</v>
      </c>
      <c r="E135" s="21" t="s">
        <v>254</v>
      </c>
      <c r="F135" s="13">
        <v>0.43</v>
      </c>
    </row>
    <row r="136" spans="1:8" x14ac:dyDescent="0.25">
      <c r="B136" t="s">
        <v>562</v>
      </c>
      <c r="C136" t="s">
        <v>266</v>
      </c>
      <c r="D136" s="21" t="s">
        <v>568</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569</v>
      </c>
      <c r="E141" s="21" t="s">
        <v>254</v>
      </c>
      <c r="F141" s="13">
        <v>0.1</v>
      </c>
    </row>
    <row r="143" spans="1:8" x14ac:dyDescent="0.25">
      <c r="A143" s="2" t="s">
        <v>574</v>
      </c>
    </row>
    <row r="144" spans="1:8" x14ac:dyDescent="0.25">
      <c r="A144" s="21" t="s">
        <v>566</v>
      </c>
      <c r="B144" s="21" t="s">
        <v>286</v>
      </c>
      <c r="C144" s="21" t="s">
        <v>244</v>
      </c>
      <c r="D144" s="21" t="s">
        <v>246</v>
      </c>
      <c r="E144" s="21" t="s">
        <v>249</v>
      </c>
      <c r="F144" s="21" t="s">
        <v>248</v>
      </c>
      <c r="G144" t="s">
        <v>576</v>
      </c>
      <c r="H144" t="s">
        <v>577</v>
      </c>
    </row>
    <row r="145" spans="1:9" x14ac:dyDescent="0.25">
      <c r="A145" t="s">
        <v>581</v>
      </c>
      <c r="B145" t="s">
        <v>285</v>
      </c>
      <c r="C145" t="s">
        <v>580</v>
      </c>
      <c r="D145" t="s">
        <v>155</v>
      </c>
      <c r="E145" t="s">
        <v>254</v>
      </c>
      <c r="F145" s="12">
        <v>0.48199999999999998</v>
      </c>
      <c r="G145">
        <v>14.7</v>
      </c>
      <c r="H145">
        <v>81.599999999999994</v>
      </c>
      <c r="I145" t="s">
        <v>575</v>
      </c>
    </row>
    <row r="146" spans="1:9" x14ac:dyDescent="0.25">
      <c r="D146" t="s">
        <v>551</v>
      </c>
      <c r="E146" s="21" t="s">
        <v>254</v>
      </c>
      <c r="F146" s="12">
        <v>0.505</v>
      </c>
      <c r="G146">
        <v>37.1</v>
      </c>
      <c r="H146">
        <v>63.8</v>
      </c>
    </row>
    <row r="147" spans="1:9" x14ac:dyDescent="0.25">
      <c r="D147" t="s">
        <v>578</v>
      </c>
      <c r="E147" s="21" t="s">
        <v>254</v>
      </c>
      <c r="F147" s="12">
        <v>0.36099999999999999</v>
      </c>
      <c r="G147">
        <v>26.9</v>
      </c>
      <c r="H147">
        <v>45.2</v>
      </c>
    </row>
    <row r="148" spans="1:9" x14ac:dyDescent="0.25">
      <c r="D148" t="s">
        <v>579</v>
      </c>
      <c r="E148" s="21" t="s">
        <v>254</v>
      </c>
      <c r="F148" s="12">
        <v>0.316</v>
      </c>
      <c r="G148">
        <v>14.9</v>
      </c>
      <c r="H148">
        <v>48.3</v>
      </c>
    </row>
    <row r="150" spans="1:9" x14ac:dyDescent="0.25">
      <c r="A150" s="2" t="s">
        <v>656</v>
      </c>
      <c r="G150" s="37"/>
      <c r="H150" s="37"/>
    </row>
    <row r="151" spans="1:9" x14ac:dyDescent="0.25">
      <c r="A151" s="37" t="s">
        <v>566</v>
      </c>
      <c r="B151" s="37" t="s">
        <v>286</v>
      </c>
      <c r="C151" s="37" t="s">
        <v>244</v>
      </c>
      <c r="D151" s="37" t="s">
        <v>246</v>
      </c>
      <c r="E151" s="37" t="s">
        <v>249</v>
      </c>
      <c r="F151" s="37" t="s">
        <v>248</v>
      </c>
      <c r="G151" s="37"/>
      <c r="H151" s="37"/>
    </row>
    <row r="152" spans="1:9" x14ac:dyDescent="0.25">
      <c r="A152">
        <v>2003</v>
      </c>
      <c r="B152" t="s">
        <v>659</v>
      </c>
      <c r="C152" t="s">
        <v>266</v>
      </c>
      <c r="D152" t="s">
        <v>658</v>
      </c>
      <c r="E152" t="s">
        <v>255</v>
      </c>
      <c r="F152" s="37">
        <v>54</v>
      </c>
      <c r="H152" s="37" t="s">
        <v>661</v>
      </c>
    </row>
    <row r="153" spans="1:9" x14ac:dyDescent="0.25">
      <c r="B153" t="s">
        <v>657</v>
      </c>
      <c r="E153" t="s">
        <v>255</v>
      </c>
      <c r="F153" s="40">
        <v>79.400000000000006</v>
      </c>
      <c r="H153" s="37"/>
    </row>
    <row r="154" spans="1:9" x14ac:dyDescent="0.25">
      <c r="B154" t="s">
        <v>660</v>
      </c>
      <c r="E154" t="s">
        <v>255</v>
      </c>
      <c r="F154" s="37">
        <v>46.9</v>
      </c>
      <c r="H154" s="37"/>
    </row>
    <row r="155" spans="1:9" x14ac:dyDescent="0.25">
      <c r="F155" s="37"/>
      <c r="G155" s="37"/>
      <c r="H155" s="37"/>
    </row>
    <row r="156" spans="1:9" x14ac:dyDescent="0.25">
      <c r="A156" s="2" t="s">
        <v>1024</v>
      </c>
      <c r="F156" s="37"/>
      <c r="G156" s="37"/>
      <c r="H156" s="37"/>
    </row>
    <row r="157" spans="1:9" x14ac:dyDescent="0.25">
      <c r="A157" s="37" t="s">
        <v>566</v>
      </c>
      <c r="B157" s="37" t="s">
        <v>286</v>
      </c>
      <c r="C157" s="37" t="s">
        <v>244</v>
      </c>
      <c r="D157" s="37" t="s">
        <v>246</v>
      </c>
      <c r="E157" s="37" t="s">
        <v>249</v>
      </c>
      <c r="F157" s="37" t="s">
        <v>248</v>
      </c>
      <c r="G157" t="s">
        <v>1022</v>
      </c>
      <c r="H157" s="37" t="s">
        <v>1023</v>
      </c>
    </row>
    <row r="158" spans="1:9" x14ac:dyDescent="0.25">
      <c r="A158" t="s">
        <v>664</v>
      </c>
      <c r="B158" t="s">
        <v>657</v>
      </c>
      <c r="C158" t="s">
        <v>245</v>
      </c>
      <c r="D158" t="s">
        <v>662</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663</v>
      </c>
      <c r="E161" t="s">
        <v>255</v>
      </c>
      <c r="F161">
        <v>68.400000000000006</v>
      </c>
      <c r="G161">
        <v>39</v>
      </c>
      <c r="H161">
        <v>57</v>
      </c>
    </row>
    <row r="162" spans="1:8" x14ac:dyDescent="0.25">
      <c r="B162" t="s">
        <v>660</v>
      </c>
      <c r="C162" t="s">
        <v>245</v>
      </c>
      <c r="D162" s="37" t="s">
        <v>662</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663</v>
      </c>
      <c r="E165" s="37" t="s">
        <v>255</v>
      </c>
      <c r="F165">
        <v>38.6</v>
      </c>
      <c r="G165">
        <v>22</v>
      </c>
      <c r="H165">
        <v>57</v>
      </c>
    </row>
    <row r="167" spans="1:8" x14ac:dyDescent="0.25">
      <c r="A167" t="s">
        <v>1025</v>
      </c>
    </row>
    <row r="168" spans="1:8" x14ac:dyDescent="0.25">
      <c r="A168" t="s">
        <v>1026</v>
      </c>
    </row>
    <row r="169" spans="1:8" x14ac:dyDescent="0.25">
      <c r="A169" s="37" t="s">
        <v>566</v>
      </c>
      <c r="B169" s="37" t="s">
        <v>286</v>
      </c>
      <c r="C169" s="37" t="s">
        <v>244</v>
      </c>
      <c r="D169" s="37" t="s">
        <v>246</v>
      </c>
      <c r="E169" s="37" t="s">
        <v>249</v>
      </c>
      <c r="F169" s="37" t="s">
        <v>248</v>
      </c>
      <c r="G169" t="s">
        <v>1029</v>
      </c>
      <c r="H169" t="s">
        <v>1030</v>
      </c>
    </row>
    <row r="170" spans="1:8" x14ac:dyDescent="0.25">
      <c r="A170">
        <v>2015</v>
      </c>
      <c r="B170" t="s">
        <v>560</v>
      </c>
      <c r="C170" t="s">
        <v>1027</v>
      </c>
      <c r="D170" t="s">
        <v>1028</v>
      </c>
      <c r="E170" s="37" t="s">
        <v>254</v>
      </c>
      <c r="F170" s="40">
        <v>59.1</v>
      </c>
      <c r="G170" s="40">
        <v>68</v>
      </c>
      <c r="H170">
        <v>115</v>
      </c>
    </row>
    <row r="171" spans="1:8" x14ac:dyDescent="0.25">
      <c r="E171" s="37" t="s">
        <v>1033</v>
      </c>
      <c r="F171" s="40">
        <v>47</v>
      </c>
      <c r="G171" s="40">
        <v>54</v>
      </c>
      <c r="H171">
        <v>115</v>
      </c>
    </row>
    <row r="172" spans="1:8" x14ac:dyDescent="0.25">
      <c r="E172" s="37" t="s">
        <v>1034</v>
      </c>
      <c r="F172" s="40">
        <v>39.1</v>
      </c>
      <c r="G172" s="40">
        <v>45</v>
      </c>
      <c r="H172" s="37">
        <v>115</v>
      </c>
    </row>
    <row r="173" spans="1:8" x14ac:dyDescent="0.25">
      <c r="E173" s="37" t="s">
        <v>1035</v>
      </c>
      <c r="F173" s="40">
        <v>23.5</v>
      </c>
      <c r="G173" s="40">
        <v>27</v>
      </c>
      <c r="H173" s="37">
        <v>115</v>
      </c>
    </row>
    <row r="174" spans="1:8" x14ac:dyDescent="0.25">
      <c r="E174" s="37" t="s">
        <v>256</v>
      </c>
      <c r="F174" s="40">
        <v>10.4</v>
      </c>
      <c r="G174" s="40">
        <v>12</v>
      </c>
      <c r="H174" s="37">
        <v>115</v>
      </c>
    </row>
    <row r="175" spans="1:8" x14ac:dyDescent="0.25">
      <c r="E175" s="37" t="s">
        <v>1036</v>
      </c>
      <c r="F175" s="40">
        <v>17.399999999999999</v>
      </c>
      <c r="G175" s="40">
        <v>20</v>
      </c>
      <c r="H175" s="37">
        <v>115</v>
      </c>
    </row>
    <row r="176" spans="1:8" x14ac:dyDescent="0.25">
      <c r="E176" s="37" t="s">
        <v>1037</v>
      </c>
      <c r="F176" s="40">
        <v>20</v>
      </c>
      <c r="G176" s="40">
        <v>23</v>
      </c>
      <c r="H176" s="37">
        <v>115</v>
      </c>
    </row>
    <row r="177" spans="2:8" x14ac:dyDescent="0.25">
      <c r="E177" s="37" t="s">
        <v>257</v>
      </c>
      <c r="F177" s="40">
        <v>3.5</v>
      </c>
      <c r="G177" s="40">
        <v>4</v>
      </c>
      <c r="H177" s="37">
        <v>115</v>
      </c>
    </row>
    <row r="178" spans="2:8" x14ac:dyDescent="0.25">
      <c r="E178" s="37" t="s">
        <v>1038</v>
      </c>
      <c r="F178" s="40">
        <v>17.399999999999999</v>
      </c>
      <c r="G178" s="40">
        <v>20</v>
      </c>
      <c r="H178" s="37">
        <v>115</v>
      </c>
    </row>
    <row r="179" spans="2:8" x14ac:dyDescent="0.25">
      <c r="E179" s="37" t="s">
        <v>1039</v>
      </c>
      <c r="F179" s="40">
        <v>32.200000000000003</v>
      </c>
      <c r="G179" s="40">
        <v>37</v>
      </c>
      <c r="H179" s="37">
        <v>115</v>
      </c>
    </row>
    <row r="180" spans="2:8" x14ac:dyDescent="0.25">
      <c r="E180" s="37" t="s">
        <v>1031</v>
      </c>
      <c r="F180" s="40">
        <v>33</v>
      </c>
      <c r="G180" s="40">
        <v>38</v>
      </c>
      <c r="H180" s="37">
        <v>115</v>
      </c>
    </row>
    <row r="181" spans="2:8" x14ac:dyDescent="0.25">
      <c r="E181" s="37" t="s">
        <v>1032</v>
      </c>
      <c r="F181" s="40">
        <v>20</v>
      </c>
      <c r="G181" s="40">
        <v>23</v>
      </c>
      <c r="H181" s="37">
        <v>115</v>
      </c>
    </row>
    <row r="182" spans="2:8" x14ac:dyDescent="0.25">
      <c r="B182" t="s">
        <v>562</v>
      </c>
      <c r="C182" t="s">
        <v>1027</v>
      </c>
      <c r="D182" t="s">
        <v>1040</v>
      </c>
      <c r="E182" s="37" t="s">
        <v>254</v>
      </c>
      <c r="F182" s="40">
        <v>35.200000000000003</v>
      </c>
      <c r="G182" s="40">
        <v>37</v>
      </c>
      <c r="H182">
        <v>105</v>
      </c>
    </row>
    <row r="183" spans="2:8" x14ac:dyDescent="0.25">
      <c r="E183" s="37" t="s">
        <v>1033</v>
      </c>
      <c r="F183" s="40">
        <v>27.6</v>
      </c>
      <c r="G183" s="40">
        <v>29</v>
      </c>
      <c r="H183">
        <v>105</v>
      </c>
    </row>
    <row r="184" spans="2:8" x14ac:dyDescent="0.25">
      <c r="E184" s="37" t="s">
        <v>1034</v>
      </c>
      <c r="F184" s="40">
        <v>23.8</v>
      </c>
      <c r="G184" s="40">
        <v>25</v>
      </c>
      <c r="H184" s="37">
        <v>105</v>
      </c>
    </row>
    <row r="185" spans="2:8" x14ac:dyDescent="0.25">
      <c r="E185" s="37" t="s">
        <v>1035</v>
      </c>
      <c r="F185" s="40">
        <v>15.2</v>
      </c>
      <c r="G185" s="40">
        <v>16</v>
      </c>
      <c r="H185" s="37">
        <v>105</v>
      </c>
    </row>
    <row r="186" spans="2:8" x14ac:dyDescent="0.25">
      <c r="E186" s="37" t="s">
        <v>256</v>
      </c>
      <c r="F186" s="40">
        <v>2.9</v>
      </c>
      <c r="G186" s="40">
        <v>3</v>
      </c>
      <c r="H186" s="37">
        <v>105</v>
      </c>
    </row>
    <row r="187" spans="2:8" x14ac:dyDescent="0.25">
      <c r="E187" s="37" t="s">
        <v>1036</v>
      </c>
      <c r="F187" s="40">
        <v>12.4</v>
      </c>
      <c r="G187" s="40">
        <v>13</v>
      </c>
      <c r="H187" s="37">
        <v>105</v>
      </c>
    </row>
    <row r="188" spans="2:8" x14ac:dyDescent="0.25">
      <c r="E188" s="37" t="s">
        <v>1037</v>
      </c>
      <c r="F188" s="40">
        <v>8.6</v>
      </c>
      <c r="G188" s="40">
        <v>9</v>
      </c>
      <c r="H188" s="37">
        <v>105</v>
      </c>
    </row>
    <row r="189" spans="2:8" x14ac:dyDescent="0.25">
      <c r="E189" s="37" t="s">
        <v>257</v>
      </c>
      <c r="F189" s="40">
        <v>1</v>
      </c>
      <c r="G189" s="40">
        <v>1</v>
      </c>
      <c r="H189" s="37">
        <v>105</v>
      </c>
    </row>
    <row r="190" spans="2:8" x14ac:dyDescent="0.25">
      <c r="E190" s="37" t="s">
        <v>1038</v>
      </c>
      <c r="F190" s="40">
        <v>7.6</v>
      </c>
      <c r="G190" s="40">
        <v>8</v>
      </c>
      <c r="H190" s="37">
        <v>105</v>
      </c>
    </row>
    <row r="191" spans="2:8" x14ac:dyDescent="0.25">
      <c r="E191" s="37" t="s">
        <v>1039</v>
      </c>
      <c r="F191" s="40">
        <v>17.100000000000001</v>
      </c>
      <c r="G191" s="40">
        <v>18</v>
      </c>
      <c r="H191" s="37">
        <v>105</v>
      </c>
    </row>
    <row r="192" spans="2:8" x14ac:dyDescent="0.25">
      <c r="E192" s="37" t="s">
        <v>1031</v>
      </c>
      <c r="F192" s="40">
        <v>10.5</v>
      </c>
      <c r="G192" s="40">
        <v>11</v>
      </c>
      <c r="H192" s="37">
        <v>105</v>
      </c>
    </row>
    <row r="193" spans="1:8" x14ac:dyDescent="0.25">
      <c r="E193" s="37" t="s">
        <v>1032</v>
      </c>
      <c r="F193" s="40">
        <v>6.7</v>
      </c>
      <c r="G193" s="40">
        <v>7</v>
      </c>
      <c r="H193" s="37">
        <v>105</v>
      </c>
    </row>
    <row r="197" spans="1:8" x14ac:dyDescent="0.25">
      <c r="A197" s="2" t="s">
        <v>1145</v>
      </c>
    </row>
    <row r="198" spans="1:8" s="37" customFormat="1" x14ac:dyDescent="0.25">
      <c r="A198" s="2"/>
      <c r="B198" s="37" t="s">
        <v>1181</v>
      </c>
    </row>
    <row r="199" spans="1:8" x14ac:dyDescent="0.25">
      <c r="C199" t="s">
        <v>596</v>
      </c>
      <c r="D199" t="s">
        <v>576</v>
      </c>
      <c r="E199" t="s">
        <v>577</v>
      </c>
    </row>
    <row r="200" spans="1:8" x14ac:dyDescent="0.25">
      <c r="B200" t="s">
        <v>297</v>
      </c>
      <c r="C200" s="12">
        <v>0.35299999999999998</v>
      </c>
      <c r="D200">
        <v>33.5</v>
      </c>
      <c r="E200">
        <v>37.1</v>
      </c>
    </row>
    <row r="208" spans="1:8" x14ac:dyDescent="0.25">
      <c r="A208" s="2" t="s">
        <v>1151</v>
      </c>
    </row>
    <row r="209" spans="1:17" x14ac:dyDescent="0.25">
      <c r="B209" t="s">
        <v>1180</v>
      </c>
    </row>
    <row r="210" spans="1:17" x14ac:dyDescent="0.25">
      <c r="C210" t="s">
        <v>74</v>
      </c>
      <c r="D210" t="s">
        <v>1152</v>
      </c>
      <c r="E210" t="s">
        <v>1179</v>
      </c>
    </row>
    <row r="211" spans="1:17" x14ac:dyDescent="0.25">
      <c r="B211" t="s">
        <v>1146</v>
      </c>
      <c r="C211">
        <v>36</v>
      </c>
      <c r="D211">
        <v>61.1</v>
      </c>
    </row>
    <row r="212" spans="1:17" x14ac:dyDescent="0.25">
      <c r="B212" t="s">
        <v>1147</v>
      </c>
      <c r="C212">
        <v>67</v>
      </c>
      <c r="D212">
        <v>64.2</v>
      </c>
    </row>
    <row r="213" spans="1:17" x14ac:dyDescent="0.25">
      <c r="B213" t="s">
        <v>1148</v>
      </c>
      <c r="C213">
        <v>51</v>
      </c>
      <c r="D213">
        <v>62.8</v>
      </c>
    </row>
    <row r="214" spans="1:17" x14ac:dyDescent="0.25">
      <c r="B214" t="s">
        <v>1149</v>
      </c>
      <c r="C214">
        <v>43</v>
      </c>
      <c r="D214">
        <v>44.2</v>
      </c>
    </row>
    <row r="215" spans="1:17" x14ac:dyDescent="0.25">
      <c r="B215" t="s">
        <v>1150</v>
      </c>
      <c r="C215">
        <v>52</v>
      </c>
      <c r="D215">
        <v>53.9</v>
      </c>
    </row>
    <row r="216" spans="1:17" x14ac:dyDescent="0.25">
      <c r="B216" t="s">
        <v>646</v>
      </c>
      <c r="C216">
        <f>SUM(C211:C215)</f>
        <v>249</v>
      </c>
      <c r="D216" s="12">
        <v>0.57599999999999996</v>
      </c>
      <c r="E216" s="12">
        <v>0.42399999999999999</v>
      </c>
    </row>
    <row r="217" spans="1:17" x14ac:dyDescent="0.25">
      <c r="B217" t="s">
        <v>560</v>
      </c>
      <c r="C217">
        <v>64</v>
      </c>
      <c r="D217">
        <v>73.400000000000006</v>
      </c>
    </row>
    <row r="218" spans="1:17" x14ac:dyDescent="0.25">
      <c r="B218" t="s">
        <v>562</v>
      </c>
      <c r="C218">
        <v>186</v>
      </c>
      <c r="D218">
        <v>52.2</v>
      </c>
    </row>
    <row r="220" spans="1:17" x14ac:dyDescent="0.25">
      <c r="A220" s="2" t="s">
        <v>1214</v>
      </c>
    </row>
    <row r="221" spans="1:17" x14ac:dyDescent="0.25">
      <c r="B221" t="s">
        <v>1192</v>
      </c>
    </row>
    <row r="222" spans="1:17" x14ac:dyDescent="0.25">
      <c r="B222" t="s">
        <v>1184</v>
      </c>
      <c r="C222" s="66" t="s">
        <v>1188</v>
      </c>
      <c r="D222" s="66" t="s">
        <v>1182</v>
      </c>
      <c r="E222" s="66" t="s">
        <v>1185</v>
      </c>
      <c r="F222" s="66" t="s">
        <v>577</v>
      </c>
      <c r="G222" s="67" t="s">
        <v>1188</v>
      </c>
      <c r="H222" s="67" t="s">
        <v>1183</v>
      </c>
      <c r="I222" s="67" t="s">
        <v>576</v>
      </c>
      <c r="J222" s="67" t="s">
        <v>577</v>
      </c>
      <c r="K222" s="68" t="s">
        <v>646</v>
      </c>
      <c r="L222" s="68" t="s">
        <v>576</v>
      </c>
      <c r="M222" s="68" t="s">
        <v>577</v>
      </c>
      <c r="N222" s="69" t="s">
        <v>1212</v>
      </c>
      <c r="O222" s="69" t="s">
        <v>1186</v>
      </c>
      <c r="P222" s="69" t="s">
        <v>1204</v>
      </c>
    </row>
    <row r="223" spans="1:17" x14ac:dyDescent="0.25">
      <c r="A223" t="s">
        <v>1215</v>
      </c>
      <c r="B223" t="s">
        <v>1187</v>
      </c>
      <c r="C223" s="66" t="s">
        <v>1189</v>
      </c>
      <c r="D223" s="66">
        <v>22.2</v>
      </c>
      <c r="E223" s="66">
        <v>16.100000000000001</v>
      </c>
      <c r="F223" s="66">
        <v>29.8</v>
      </c>
      <c r="G223" s="67" t="s">
        <v>1190</v>
      </c>
      <c r="H223" s="67">
        <v>76.900000000000006</v>
      </c>
      <c r="I223" s="67">
        <v>46</v>
      </c>
      <c r="J223" s="67">
        <v>93.8</v>
      </c>
      <c r="K223" s="68">
        <v>26.5</v>
      </c>
      <c r="L223" s="68">
        <v>19.7</v>
      </c>
      <c r="M223" s="68">
        <v>33.299999999999997</v>
      </c>
      <c r="N223" s="69">
        <v>7.8</v>
      </c>
      <c r="O223" s="69" t="s">
        <v>1210</v>
      </c>
      <c r="P223" s="69" t="s">
        <v>1211</v>
      </c>
    </row>
    <row r="224" spans="1:17" x14ac:dyDescent="0.25">
      <c r="A224" t="s">
        <v>1216</v>
      </c>
      <c r="B224" t="s">
        <v>1191</v>
      </c>
      <c r="C224" s="66" t="s">
        <v>1193</v>
      </c>
      <c r="D224" s="66">
        <v>15.8</v>
      </c>
      <c r="E224" s="66">
        <v>13.8</v>
      </c>
      <c r="F224" s="66">
        <v>17.7</v>
      </c>
      <c r="G224" s="67" t="s">
        <v>1194</v>
      </c>
      <c r="H224" s="67">
        <v>25.7</v>
      </c>
      <c r="I224" s="67">
        <v>18.5</v>
      </c>
      <c r="J224" s="67">
        <v>33</v>
      </c>
      <c r="K224" s="68">
        <v>16.2</v>
      </c>
      <c r="L224" s="68">
        <v>14.5</v>
      </c>
      <c r="M224" s="68">
        <v>17.899999999999999</v>
      </c>
      <c r="N224" s="70">
        <f>140/(1813)*100</f>
        <v>7.7220077220077217</v>
      </c>
      <c r="O224" s="69" t="s">
        <v>1205</v>
      </c>
      <c r="P224" s="69">
        <v>2009</v>
      </c>
      <c r="Q224" t="s">
        <v>1218</v>
      </c>
    </row>
    <row r="225" spans="1:18" x14ac:dyDescent="0.25">
      <c r="A225" t="s">
        <v>1217</v>
      </c>
      <c r="B225" t="s">
        <v>1195</v>
      </c>
      <c r="C225" s="66" t="s">
        <v>1196</v>
      </c>
      <c r="D225" s="66">
        <v>38.700000000000003</v>
      </c>
      <c r="E225" s="66">
        <v>35.6</v>
      </c>
      <c r="F225" s="66">
        <v>41.8</v>
      </c>
      <c r="G225" s="67" t="s">
        <v>1197</v>
      </c>
      <c r="H225" s="67">
        <v>74.099999999999994</v>
      </c>
      <c r="I225" s="67">
        <v>69.599999999999994</v>
      </c>
      <c r="J225" s="67">
        <v>78.2</v>
      </c>
      <c r="K225" s="68">
        <v>49.3</v>
      </c>
      <c r="L225" s="68" t="s">
        <v>531</v>
      </c>
      <c r="M225" s="68" t="s">
        <v>531</v>
      </c>
      <c r="N225" s="69">
        <v>30</v>
      </c>
      <c r="O225" s="69" t="s">
        <v>1213</v>
      </c>
      <c r="P225" s="69">
        <v>2006</v>
      </c>
    </row>
    <row r="227" spans="1:18" x14ac:dyDescent="0.25">
      <c r="B227" t="s">
        <v>1198</v>
      </c>
      <c r="M227" t="s">
        <v>1209</v>
      </c>
    </row>
    <row r="228" spans="1:18" x14ac:dyDescent="0.25">
      <c r="B228" t="s">
        <v>1199</v>
      </c>
      <c r="M228" t="s">
        <v>560</v>
      </c>
      <c r="P228" t="s">
        <v>562</v>
      </c>
    </row>
    <row r="229" spans="1:18" x14ac:dyDescent="0.25">
      <c r="B229" t="s">
        <v>246</v>
      </c>
      <c r="C229" t="s">
        <v>74</v>
      </c>
      <c r="D229" t="s">
        <v>106</v>
      </c>
      <c r="E229" t="s">
        <v>1206</v>
      </c>
      <c r="F229" t="s">
        <v>576</v>
      </c>
      <c r="G229" t="s">
        <v>577</v>
      </c>
      <c r="I229" s="37" t="s">
        <v>74</v>
      </c>
      <c r="J229" s="37" t="s">
        <v>106</v>
      </c>
      <c r="K229" s="37" t="s">
        <v>1207</v>
      </c>
      <c r="M229" t="s">
        <v>1208</v>
      </c>
      <c r="N229" t="s">
        <v>576</v>
      </c>
      <c r="O229" t="s">
        <v>577</v>
      </c>
      <c r="P229" s="37" t="s">
        <v>1208</v>
      </c>
      <c r="Q229" s="37" t="s">
        <v>576</v>
      </c>
      <c r="R229" s="37" t="s">
        <v>577</v>
      </c>
    </row>
    <row r="230" spans="1:18" x14ac:dyDescent="0.25">
      <c r="B230" t="s">
        <v>1200</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1201</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1203</v>
      </c>
      <c r="I238" s="37" t="s">
        <v>560</v>
      </c>
      <c r="J238" s="37"/>
      <c r="K238" s="37"/>
      <c r="M238" t="s">
        <v>562</v>
      </c>
    </row>
    <row r="239" spans="1:18" x14ac:dyDescent="0.25">
      <c r="B239" s="37" t="s">
        <v>246</v>
      </c>
      <c r="C239" s="37" t="s">
        <v>74</v>
      </c>
      <c r="D239" s="37" t="s">
        <v>106</v>
      </c>
      <c r="E239" s="37" t="s">
        <v>248</v>
      </c>
      <c r="F239" s="37" t="s">
        <v>576</v>
      </c>
      <c r="G239" s="37" t="s">
        <v>577</v>
      </c>
      <c r="I239" s="37" t="s">
        <v>74</v>
      </c>
      <c r="J239" s="37" t="s">
        <v>106</v>
      </c>
      <c r="K239" s="37" t="s">
        <v>596</v>
      </c>
      <c r="M239" t="s">
        <v>74</v>
      </c>
      <c r="N239" t="s">
        <v>106</v>
      </c>
      <c r="O239" t="s">
        <v>596</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1202</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34" workbookViewId="0">
      <selection activeCell="B64" sqref="B64"/>
    </sheetView>
  </sheetViews>
  <sheetFormatPr defaultRowHeight="15" x14ac:dyDescent="0.25"/>
  <sheetData>
    <row r="1" spans="1:5" x14ac:dyDescent="0.25">
      <c r="A1" s="2" t="s">
        <v>650</v>
      </c>
    </row>
    <row r="2" spans="1:5" x14ac:dyDescent="0.25">
      <c r="B2" t="s">
        <v>651</v>
      </c>
    </row>
    <row r="3" spans="1:5" x14ac:dyDescent="0.25">
      <c r="B3" t="s">
        <v>647</v>
      </c>
      <c r="C3">
        <v>4.9000000000000004</v>
      </c>
      <c r="D3" t="s">
        <v>648</v>
      </c>
    </row>
    <row r="4" spans="1:5" x14ac:dyDescent="0.25">
      <c r="B4" t="s">
        <v>562</v>
      </c>
      <c r="C4">
        <v>1.9</v>
      </c>
      <c r="D4" t="s">
        <v>649</v>
      </c>
    </row>
    <row r="6" spans="1:5" x14ac:dyDescent="0.25">
      <c r="A6" s="2" t="s">
        <v>652</v>
      </c>
    </row>
    <row r="7" spans="1:5" x14ac:dyDescent="0.25">
      <c r="B7" t="s">
        <v>653</v>
      </c>
    </row>
    <row r="8" spans="1:5" x14ac:dyDescent="0.25">
      <c r="C8" t="s">
        <v>560</v>
      </c>
      <c r="D8" t="s">
        <v>562</v>
      </c>
    </row>
    <row r="9" spans="1:5" x14ac:dyDescent="0.25">
      <c r="B9" t="s">
        <v>654</v>
      </c>
      <c r="C9" s="13">
        <v>0.37</v>
      </c>
      <c r="D9" s="13">
        <v>0.24</v>
      </c>
    </row>
    <row r="10" spans="1:5" x14ac:dyDescent="0.25">
      <c r="B10" t="s">
        <v>655</v>
      </c>
      <c r="C10">
        <v>26</v>
      </c>
      <c r="D10">
        <v>24</v>
      </c>
    </row>
    <row r="12" spans="1:5" x14ac:dyDescent="0.25">
      <c r="A12" s="2" t="s">
        <v>674</v>
      </c>
    </row>
    <row r="13" spans="1:5" x14ac:dyDescent="0.25">
      <c r="B13" t="s">
        <v>669</v>
      </c>
    </row>
    <row r="14" spans="1:5" x14ac:dyDescent="0.25">
      <c r="B14" t="s">
        <v>246</v>
      </c>
      <c r="C14" t="s">
        <v>596</v>
      </c>
      <c r="D14" t="s">
        <v>106</v>
      </c>
    </row>
    <row r="15" spans="1:5" x14ac:dyDescent="0.25">
      <c r="B15" t="s">
        <v>665</v>
      </c>
      <c r="C15">
        <f>137/D15</f>
        <v>0.1049808429118774</v>
      </c>
      <c r="D15">
        <f>137+1168</f>
        <v>1305</v>
      </c>
      <c r="E15">
        <f>C15*D15</f>
        <v>137</v>
      </c>
    </row>
    <row r="16" spans="1:5" x14ac:dyDescent="0.25">
      <c r="B16" t="s">
        <v>666</v>
      </c>
      <c r="C16">
        <f>119/D16</f>
        <v>9.3922651933701654E-2</v>
      </c>
      <c r="D16">
        <f>119+1148</f>
        <v>1267</v>
      </c>
      <c r="E16" s="37">
        <f>C16*D16</f>
        <v>119</v>
      </c>
    </row>
    <row r="17" spans="1:5" x14ac:dyDescent="0.25">
      <c r="B17" t="s">
        <v>667</v>
      </c>
      <c r="C17">
        <f>31/D17</f>
        <v>6.042884990253411E-2</v>
      </c>
      <c r="D17">
        <f>31+482</f>
        <v>513</v>
      </c>
      <c r="E17" s="37">
        <f>C17*D17</f>
        <v>31</v>
      </c>
    </row>
    <row r="18" spans="1:5" x14ac:dyDescent="0.25">
      <c r="B18" t="s">
        <v>668</v>
      </c>
    </row>
    <row r="20" spans="1:5" x14ac:dyDescent="0.25">
      <c r="B20" t="s">
        <v>670</v>
      </c>
    </row>
    <row r="21" spans="1:5" x14ac:dyDescent="0.25">
      <c r="B21" t="s">
        <v>671</v>
      </c>
      <c r="C21" t="s">
        <v>596</v>
      </c>
      <c r="D21" t="s">
        <v>106</v>
      </c>
    </row>
    <row r="22" spans="1:5" x14ac:dyDescent="0.25">
      <c r="B22" t="s">
        <v>456</v>
      </c>
      <c r="C22">
        <f>59/D22</f>
        <v>0.13111111111111112</v>
      </c>
      <c r="D22">
        <f>391+59</f>
        <v>450</v>
      </c>
    </row>
    <row r="23" spans="1:5" x14ac:dyDescent="0.25">
      <c r="B23" t="s">
        <v>672</v>
      </c>
      <c r="C23">
        <f>73/D23</f>
        <v>0.13721804511278196</v>
      </c>
      <c r="D23">
        <f>459+73</f>
        <v>532</v>
      </c>
    </row>
    <row r="24" spans="1:5" x14ac:dyDescent="0.25">
      <c r="B24" t="s">
        <v>427</v>
      </c>
      <c r="C24">
        <f>49/D24</f>
        <v>0.10722100656455143</v>
      </c>
      <c r="D24">
        <f>408+49</f>
        <v>457</v>
      </c>
    </row>
    <row r="25" spans="1:5" x14ac:dyDescent="0.25">
      <c r="B25" t="s">
        <v>673</v>
      </c>
      <c r="C25">
        <f>57/D25</f>
        <v>9.7269624573378843E-2</v>
      </c>
      <c r="D25">
        <f>529+57</f>
        <v>586</v>
      </c>
    </row>
    <row r="27" spans="1:5" x14ac:dyDescent="0.25">
      <c r="A27" s="2" t="s">
        <v>675</v>
      </c>
    </row>
    <row r="28" spans="1:5" x14ac:dyDescent="0.25">
      <c r="B28" t="s">
        <v>680</v>
      </c>
    </row>
    <row r="29" spans="1:5" x14ac:dyDescent="0.25">
      <c r="B29" t="s">
        <v>679</v>
      </c>
      <c r="C29" t="s">
        <v>596</v>
      </c>
    </row>
    <row r="30" spans="1:5" x14ac:dyDescent="0.25">
      <c r="B30" t="s">
        <v>676</v>
      </c>
      <c r="C30">
        <v>5.8</v>
      </c>
    </row>
    <row r="31" spans="1:5" x14ac:dyDescent="0.25">
      <c r="B31" t="s">
        <v>677</v>
      </c>
      <c r="C31">
        <v>3.5</v>
      </c>
    </row>
    <row r="32" spans="1:5" x14ac:dyDescent="0.25">
      <c r="B32" t="s">
        <v>678</v>
      </c>
      <c r="C32">
        <v>1.2</v>
      </c>
    </row>
    <row r="33" spans="1:6" x14ac:dyDescent="0.25">
      <c r="B33" t="s">
        <v>282</v>
      </c>
      <c r="C33">
        <v>1.5</v>
      </c>
    </row>
    <row r="34" spans="1:6" x14ac:dyDescent="0.25">
      <c r="B34" t="s">
        <v>681</v>
      </c>
    </row>
    <row r="36" spans="1:6" x14ac:dyDescent="0.25">
      <c r="A36" s="2" t="s">
        <v>684</v>
      </c>
    </row>
    <row r="37" spans="1:6" x14ac:dyDescent="0.25">
      <c r="B37" t="s">
        <v>683</v>
      </c>
    </row>
    <row r="38" spans="1:6" x14ac:dyDescent="0.25">
      <c r="C38" t="s">
        <v>560</v>
      </c>
      <c r="D38" t="s">
        <v>562</v>
      </c>
    </row>
    <row r="39" spans="1:6" x14ac:dyDescent="0.25">
      <c r="B39" t="s">
        <v>682</v>
      </c>
      <c r="C39">
        <f>15/84</f>
        <v>0.17857142857142858</v>
      </c>
      <c r="D39">
        <f>24/266</f>
        <v>9.0225563909774431E-2</v>
      </c>
    </row>
    <row r="40" spans="1:6" x14ac:dyDescent="0.25">
      <c r="B40" t="s">
        <v>281</v>
      </c>
      <c r="C40">
        <f>10/84</f>
        <v>0.11904761904761904</v>
      </c>
      <c r="D40">
        <f>5/266</f>
        <v>1.8796992481203006E-2</v>
      </c>
      <c r="F40" s="37"/>
    </row>
    <row r="42" spans="1:6" x14ac:dyDescent="0.25">
      <c r="B42" t="s">
        <v>685</v>
      </c>
    </row>
    <row r="43" spans="1:6" x14ac:dyDescent="0.25">
      <c r="B43" t="s">
        <v>647</v>
      </c>
      <c r="C43" t="s">
        <v>686</v>
      </c>
    </row>
    <row r="44" spans="1:6" x14ac:dyDescent="0.25">
      <c r="B44" t="s">
        <v>562</v>
      </c>
      <c r="C44" t="s">
        <v>687</v>
      </c>
    </row>
    <row r="45" spans="1:6" x14ac:dyDescent="0.25">
      <c r="B45" t="s">
        <v>688</v>
      </c>
    </row>
    <row r="47" spans="1:6" x14ac:dyDescent="0.25">
      <c r="A47" s="2" t="s">
        <v>689</v>
      </c>
    </row>
    <row r="48" spans="1:6" x14ac:dyDescent="0.25">
      <c r="B48" t="s">
        <v>690</v>
      </c>
    </row>
    <row r="49" spans="1:5" x14ac:dyDescent="0.25">
      <c r="C49" t="s">
        <v>596</v>
      </c>
    </row>
    <row r="50" spans="1:5" x14ac:dyDescent="0.25">
      <c r="B50" t="s">
        <v>295</v>
      </c>
      <c r="C50">
        <v>33.1</v>
      </c>
    </row>
    <row r="51" spans="1:5" x14ac:dyDescent="0.25">
      <c r="B51" t="s">
        <v>691</v>
      </c>
      <c r="C51">
        <v>10.5</v>
      </c>
    </row>
    <row r="52" spans="1:5" x14ac:dyDescent="0.25">
      <c r="B52" t="s">
        <v>692</v>
      </c>
      <c r="C52">
        <v>12.8</v>
      </c>
    </row>
    <row r="53" spans="1:5" x14ac:dyDescent="0.25">
      <c r="B53" t="s">
        <v>693</v>
      </c>
    </row>
    <row r="55" spans="1:5" x14ac:dyDescent="0.25">
      <c r="A55" s="2" t="s">
        <v>1225</v>
      </c>
    </row>
    <row r="56" spans="1:5" x14ac:dyDescent="0.25">
      <c r="B56" t="s">
        <v>1175</v>
      </c>
    </row>
    <row r="57" spans="1:5" x14ac:dyDescent="0.25">
      <c r="C57" t="s">
        <v>647</v>
      </c>
      <c r="D57" t="s">
        <v>562</v>
      </c>
    </row>
    <row r="58" spans="1:5" x14ac:dyDescent="0.25">
      <c r="B58" t="s">
        <v>546</v>
      </c>
      <c r="C58" s="18">
        <v>0.191</v>
      </c>
      <c r="D58" s="18">
        <v>0.08</v>
      </c>
    </row>
    <row r="59" spans="1:5" x14ac:dyDescent="0.25">
      <c r="B59" t="s">
        <v>1173</v>
      </c>
      <c r="C59" s="18">
        <v>0.13100000000000001</v>
      </c>
      <c r="D59" s="18">
        <v>1.4999999999999999E-2</v>
      </c>
    </row>
    <row r="60" spans="1:5" x14ac:dyDescent="0.25">
      <c r="B60" t="s">
        <v>291</v>
      </c>
      <c r="C60" s="18">
        <v>0.16700000000000001</v>
      </c>
      <c r="D60" s="18">
        <v>1.9E-2</v>
      </c>
    </row>
    <row r="61" spans="1:5" x14ac:dyDescent="0.25">
      <c r="B61" t="s">
        <v>1174</v>
      </c>
      <c r="C61" s="18">
        <v>0.27400000000000002</v>
      </c>
      <c r="D61" s="18">
        <v>0.182</v>
      </c>
      <c r="E61" s="18"/>
    </row>
    <row r="63" spans="1:5" x14ac:dyDescent="0.25">
      <c r="A63" s="2" t="s">
        <v>1223</v>
      </c>
    </row>
    <row r="64" spans="1:5" x14ac:dyDescent="0.25">
      <c r="B64" t="s">
        <v>1226</v>
      </c>
    </row>
    <row r="65" spans="2:4" x14ac:dyDescent="0.25">
      <c r="B65" t="s">
        <v>1222</v>
      </c>
    </row>
    <row r="66" spans="2:4" x14ac:dyDescent="0.25">
      <c r="C66" t="s">
        <v>74</v>
      </c>
      <c r="D66" t="s">
        <v>107</v>
      </c>
    </row>
    <row r="67" spans="2:4" x14ac:dyDescent="0.25">
      <c r="B67" t="s">
        <v>1224</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1086</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1160</v>
      </c>
    </row>
    <row r="65" spans="1:7" s="37" customFormat="1" x14ac:dyDescent="0.25">
      <c r="A65" s="2"/>
      <c r="B65" s="37" t="s">
        <v>1162</v>
      </c>
      <c r="E65" s="37" t="s">
        <v>1161</v>
      </c>
    </row>
    <row r="66" spans="1:7" x14ac:dyDescent="0.25">
      <c r="B66" t="s">
        <v>1157</v>
      </c>
      <c r="E66" t="s">
        <v>1163</v>
      </c>
      <c r="F66" t="s">
        <v>188</v>
      </c>
      <c r="G66" t="s">
        <v>1164</v>
      </c>
    </row>
    <row r="67" spans="1:7" x14ac:dyDescent="0.25">
      <c r="B67" t="s">
        <v>76</v>
      </c>
      <c r="C67">
        <v>2</v>
      </c>
      <c r="E67" t="s">
        <v>551</v>
      </c>
      <c r="F67">
        <v>17.900000000000006</v>
      </c>
      <c r="G67">
        <v>7.2</v>
      </c>
    </row>
    <row r="68" spans="1:7" x14ac:dyDescent="0.25">
      <c r="B68" t="s">
        <v>156</v>
      </c>
      <c r="C68">
        <v>5.9</v>
      </c>
      <c r="E68" t="s">
        <v>578</v>
      </c>
      <c r="F68">
        <v>18.400000000000006</v>
      </c>
      <c r="G68">
        <v>6.3</v>
      </c>
    </row>
    <row r="69" spans="1:7" x14ac:dyDescent="0.25">
      <c r="B69" t="s">
        <v>157</v>
      </c>
      <c r="C69">
        <v>5.5</v>
      </c>
      <c r="E69" t="s">
        <v>579</v>
      </c>
      <c r="F69">
        <v>15.900000000000006</v>
      </c>
      <c r="G69">
        <v>3.1</v>
      </c>
    </row>
    <row r="70" spans="1:7" x14ac:dyDescent="0.25">
      <c r="B70" t="s">
        <v>1155</v>
      </c>
      <c r="C70">
        <v>1.2</v>
      </c>
      <c r="E70" t="s">
        <v>1112</v>
      </c>
      <c r="F70">
        <v>11.099999999999994</v>
      </c>
      <c r="G70">
        <v>2.9</v>
      </c>
    </row>
    <row r="71" spans="1:7" x14ac:dyDescent="0.25">
      <c r="B71" t="s">
        <v>79</v>
      </c>
      <c r="C71">
        <v>0.1</v>
      </c>
      <c r="E71" t="s">
        <v>646</v>
      </c>
      <c r="F71">
        <v>16.900000000000006</v>
      </c>
      <c r="G71">
        <v>5.8</v>
      </c>
    </row>
    <row r="72" spans="1:7" x14ac:dyDescent="0.25">
      <c r="B72" t="s">
        <v>1156</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617</v>
      </c>
    </row>
    <row r="10" spans="1:3" x14ac:dyDescent="0.25">
      <c r="B10" t="s">
        <v>620</v>
      </c>
    </row>
    <row r="11" spans="1:3" x14ac:dyDescent="0.25">
      <c r="B11" t="s">
        <v>246</v>
      </c>
      <c r="C11" t="s">
        <v>619</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618</v>
      </c>
      <c r="C23">
        <v>134.78</v>
      </c>
    </row>
    <row r="24" spans="1:3" s="37" customFormat="1" x14ac:dyDescent="0.25">
      <c r="B24" s="37" t="s">
        <v>297</v>
      </c>
      <c r="C24" s="37">
        <v>46.1</v>
      </c>
    </row>
    <row r="26" spans="1:3" x14ac:dyDescent="0.25">
      <c r="A26" s="2" t="s">
        <v>983</v>
      </c>
    </row>
    <row r="27" spans="1:3" x14ac:dyDescent="0.25">
      <c r="B27" t="s">
        <v>643</v>
      </c>
    </row>
    <row r="28" spans="1:3" x14ac:dyDescent="0.25">
      <c r="B28" t="s">
        <v>150</v>
      </c>
      <c r="C28" t="s">
        <v>644</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618</v>
      </c>
      <c r="C41">
        <v>15</v>
      </c>
    </row>
    <row r="43" spans="2:6" x14ac:dyDescent="0.25">
      <c r="B43" s="37" t="s">
        <v>645</v>
      </c>
    </row>
    <row r="44" spans="2:6" s="37" customFormat="1" x14ac:dyDescent="0.25">
      <c r="C44" s="37" t="s">
        <v>644</v>
      </c>
    </row>
    <row r="45" spans="2:6" x14ac:dyDescent="0.25">
      <c r="B45" s="37" t="s">
        <v>150</v>
      </c>
      <c r="C45" t="s">
        <v>1168</v>
      </c>
      <c r="E45" t="s">
        <v>1169</v>
      </c>
      <c r="F45" t="s">
        <v>1170</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618</v>
      </c>
      <c r="C58" s="37">
        <v>48</v>
      </c>
      <c r="E58" s="37">
        <v>15</v>
      </c>
      <c r="F58" s="37">
        <v>134.78</v>
      </c>
    </row>
    <row r="60" spans="1:6" x14ac:dyDescent="0.25">
      <c r="A60" s="2" t="s">
        <v>984</v>
      </c>
    </row>
    <row r="61" spans="1:6" x14ac:dyDescent="0.25">
      <c r="B61" s="37" t="s">
        <v>985</v>
      </c>
      <c r="C61" s="37"/>
    </row>
    <row r="62" spans="1:6" x14ac:dyDescent="0.25">
      <c r="B62" s="37" t="s">
        <v>150</v>
      </c>
      <c r="C62" s="37" t="s">
        <v>644</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618</v>
      </c>
      <c r="C75" s="37">
        <v>10</v>
      </c>
    </row>
    <row r="76" spans="1:4" x14ac:dyDescent="0.25">
      <c r="B76" t="s">
        <v>986</v>
      </c>
      <c r="C76">
        <v>17.7</v>
      </c>
    </row>
    <row r="78" spans="1:4" x14ac:dyDescent="0.25">
      <c r="A78" s="2" t="s">
        <v>1154</v>
      </c>
    </row>
    <row r="79" spans="1:4" x14ac:dyDescent="0.25">
      <c r="B79" t="s">
        <v>1153</v>
      </c>
      <c r="C79">
        <v>20.5</v>
      </c>
    </row>
    <row r="80" spans="1:4" s="37" customFormat="1" x14ac:dyDescent="0.25">
      <c r="B80" s="37" t="s">
        <v>986</v>
      </c>
      <c r="C80" s="37">
        <v>32.5</v>
      </c>
      <c r="D80" s="37" t="s">
        <v>1166</v>
      </c>
    </row>
    <row r="82" spans="1:5" x14ac:dyDescent="0.25">
      <c r="A82" s="2" t="s">
        <v>1158</v>
      </c>
    </row>
    <row r="83" spans="1:5" x14ac:dyDescent="0.25">
      <c r="C83" t="s">
        <v>986</v>
      </c>
    </row>
    <row r="84" spans="1:5" x14ac:dyDescent="0.25">
      <c r="B84" t="s">
        <v>1159</v>
      </c>
      <c r="C84">
        <v>34.5</v>
      </c>
      <c r="D84" t="s">
        <v>1165</v>
      </c>
    </row>
    <row r="86" spans="1:5" x14ac:dyDescent="0.25">
      <c r="A86" s="2" t="s">
        <v>1227</v>
      </c>
    </row>
    <row r="87" spans="1:5" x14ac:dyDescent="0.25">
      <c r="C87" t="s">
        <v>1167</v>
      </c>
    </row>
    <row r="88" spans="1:5" x14ac:dyDescent="0.25">
      <c r="B88" t="s">
        <v>153</v>
      </c>
      <c r="C88">
        <v>40.03</v>
      </c>
    </row>
    <row r="89" spans="1:5" x14ac:dyDescent="0.25">
      <c r="B89" t="s">
        <v>1159</v>
      </c>
      <c r="C89">
        <v>42.7</v>
      </c>
    </row>
    <row r="91" spans="1:5" x14ac:dyDescent="0.25">
      <c r="A91" s="2" t="s">
        <v>1171</v>
      </c>
    </row>
    <row r="92" spans="1:5" s="37" customFormat="1" x14ac:dyDescent="0.25">
      <c r="A92" s="2"/>
      <c r="B92" s="37" t="s">
        <v>1172</v>
      </c>
    </row>
    <row r="93" spans="1:5" x14ac:dyDescent="0.25">
      <c r="B93" t="s">
        <v>196</v>
      </c>
      <c r="C93" t="s">
        <v>986</v>
      </c>
      <c r="D93" t="s">
        <v>576</v>
      </c>
      <c r="E93" t="s">
        <v>577</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2020-03-23T22:08:40Z</dcterms:modified>
</cp:coreProperties>
</file>