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essica\OneDrive - UW\SPEED\Model\code\Github\"/>
    </mc:Choice>
  </mc:AlternateContent>
  <xr:revisionPtr revIDLastSave="44" documentId="11_84590F4DBB44A97A0146DC7E0F2F56A67ECD31D8" xr6:coauthVersionLast="45" xr6:coauthVersionMax="45" xr10:uidLastSave="{E1828614-12BB-4D8D-8302-DE3A1365378D}"/>
  <bookViews>
    <workbookView xWindow="-108" yWindow="-108" windowWidth="23256" windowHeight="12576" tabRatio="753" activeTab="3" xr2:uid="{00000000-000D-0000-FFFF-FFFF00000000}"/>
  </bookViews>
  <sheets>
    <sheet name="Tables" sheetId="7" r:id="rId1"/>
    <sheet name="Figures" sheetId="14" r:id="rId2"/>
    <sheet name="Costs" sheetId="6" r:id="rId3"/>
    <sheet name="CEA" sheetId="3" r:id="rId4"/>
    <sheet name="Sens 20 year" sheetId="20" r:id="rId5"/>
    <sheet name="Sens AYA dropout low" sheetId="10" r:id="rId6"/>
    <sheet name="Sens AYA dropout high" sheetId="11" r:id="rId7"/>
    <sheet name="Sens pop dropout low" sheetId="15" r:id="rId8"/>
    <sheet name="Sens pop dropout high" sheetId="16" r:id="rId9"/>
    <sheet name="Sens ART High" sheetId="9" r:id="rId10"/>
    <sheet name="Sens ART Low" sheetId="8" r:id="rId11"/>
    <sheet name="Sens partners low" sheetId="12" r:id="rId12"/>
    <sheet name="Sens partners high" sheetId="13" r:id="rId13"/>
    <sheet name="Sens $60 Oral" sheetId="18" r:id="rId14"/>
    <sheet name="Sens $90 Oral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0" l="1"/>
  <c r="B27" i="14"/>
  <c r="B26" i="14"/>
  <c r="B25" i="14"/>
  <c r="B24" i="14"/>
  <c r="B23" i="14"/>
  <c r="B22" i="14"/>
  <c r="B21" i="14"/>
  <c r="B20" i="14"/>
  <c r="D27" i="14"/>
  <c r="D26" i="14"/>
  <c r="C26" i="14"/>
  <c r="D10" i="14"/>
  <c r="D9" i="14"/>
  <c r="C9" i="14"/>
  <c r="S40" i="20"/>
  <c r="R36" i="20"/>
  <c r="S36" i="20"/>
  <c r="R37" i="20"/>
  <c r="S37" i="20"/>
  <c r="R38" i="20"/>
  <c r="S38" i="20"/>
  <c r="R39" i="20"/>
  <c r="S39" i="20"/>
  <c r="R40" i="20"/>
  <c r="R41" i="20"/>
  <c r="S41" i="20"/>
  <c r="R42" i="20"/>
  <c r="S42" i="20"/>
  <c r="R43" i="20"/>
  <c r="S43" i="20"/>
  <c r="R44" i="20"/>
  <c r="S44" i="20"/>
  <c r="R45" i="20"/>
  <c r="S45" i="20"/>
  <c r="S35" i="20"/>
  <c r="R35" i="20"/>
  <c r="K46" i="20"/>
  <c r="K36" i="20"/>
  <c r="L36" i="20" s="1"/>
  <c r="M36" i="20" s="1"/>
  <c r="K37" i="20"/>
  <c r="L37" i="20" s="1"/>
  <c r="M37" i="20" s="1"/>
  <c r="K38" i="20"/>
  <c r="L38" i="20" s="1"/>
  <c r="M38" i="20" s="1"/>
  <c r="K39" i="20"/>
  <c r="L39" i="20" s="1"/>
  <c r="M39" i="20" s="1"/>
  <c r="K40" i="20"/>
  <c r="L40" i="20" s="1"/>
  <c r="M40" i="20" s="1"/>
  <c r="K41" i="20"/>
  <c r="L41" i="20" s="1"/>
  <c r="M41" i="20" s="1"/>
  <c r="K42" i="20"/>
  <c r="L42" i="20" s="1"/>
  <c r="M42" i="20" s="1"/>
  <c r="K43" i="20"/>
  <c r="L43" i="20" s="1"/>
  <c r="M43" i="20" s="1"/>
  <c r="K44" i="20"/>
  <c r="L44" i="20"/>
  <c r="M44" i="20" s="1"/>
  <c r="K45" i="20"/>
  <c r="L45" i="20" s="1"/>
  <c r="M45" i="20" s="1"/>
  <c r="L12" i="20"/>
  <c r="M12" i="20" s="1"/>
  <c r="K13" i="20"/>
  <c r="L13" i="20" s="1"/>
  <c r="M13" i="20" s="1"/>
  <c r="K14" i="20"/>
  <c r="L14" i="20" s="1"/>
  <c r="M14" i="20" s="1"/>
  <c r="K15" i="20"/>
  <c r="L15" i="20" s="1"/>
  <c r="M15" i="20" s="1"/>
  <c r="K16" i="20"/>
  <c r="L16" i="20" s="1"/>
  <c r="M16" i="20" s="1"/>
  <c r="K17" i="20"/>
  <c r="L17" i="20" s="1"/>
  <c r="M17" i="20" s="1"/>
  <c r="K18" i="20"/>
  <c r="L18" i="20" s="1"/>
  <c r="M18" i="20" s="1"/>
  <c r="K19" i="20"/>
  <c r="L19" i="20" s="1"/>
  <c r="M19" i="20" s="1"/>
  <c r="K20" i="20"/>
  <c r="L20" i="20" s="1"/>
  <c r="M20" i="20" s="1"/>
  <c r="K21" i="20"/>
  <c r="L21" i="20" s="1"/>
  <c r="M21" i="20" s="1"/>
  <c r="Q43" i="20" l="1"/>
  <c r="Q37" i="20"/>
  <c r="Q44" i="20"/>
  <c r="Q42" i="20"/>
  <c r="Q41" i="20"/>
  <c r="Q39" i="20"/>
  <c r="Q40" i="20"/>
  <c r="Q45" i="20"/>
  <c r="Q38" i="20"/>
  <c r="Q36" i="20"/>
  <c r="X47" i="20"/>
  <c r="J47" i="20"/>
  <c r="I47" i="20"/>
  <c r="H47" i="20"/>
  <c r="G47" i="20"/>
  <c r="F47" i="20"/>
  <c r="E47" i="20"/>
  <c r="D47" i="20"/>
  <c r="C47" i="20"/>
  <c r="B47" i="20"/>
  <c r="X46" i="20"/>
  <c r="S46" i="20"/>
  <c r="R46" i="20"/>
  <c r="L46" i="20"/>
  <c r="M46" i="20" s="1"/>
  <c r="K35" i="20"/>
  <c r="L35" i="20" s="1"/>
  <c r="M35" i="20" s="1"/>
  <c r="S34" i="20"/>
  <c r="R34" i="20"/>
  <c r="K34" i="20"/>
  <c r="L34" i="20" s="1"/>
  <c r="M34" i="20" s="1"/>
  <c r="S33" i="20"/>
  <c r="R33" i="20"/>
  <c r="K33" i="20"/>
  <c r="L33" i="20" s="1"/>
  <c r="M33" i="20" s="1"/>
  <c r="S32" i="20"/>
  <c r="R32" i="20"/>
  <c r="K32" i="20"/>
  <c r="L32" i="20" s="1"/>
  <c r="M32" i="20" s="1"/>
  <c r="S31" i="20"/>
  <c r="R31" i="20"/>
  <c r="K31" i="20"/>
  <c r="L31" i="20" s="1"/>
  <c r="M31" i="20" s="1"/>
  <c r="S30" i="20"/>
  <c r="R30" i="20"/>
  <c r="K30" i="20"/>
  <c r="L30" i="20" s="1"/>
  <c r="M30" i="20" s="1"/>
  <c r="S29" i="20"/>
  <c r="R29" i="20"/>
  <c r="K29" i="20"/>
  <c r="L29" i="20" s="1"/>
  <c r="M29" i="20" s="1"/>
  <c r="S28" i="20"/>
  <c r="R28" i="20"/>
  <c r="K28" i="20"/>
  <c r="L28" i="20" s="1"/>
  <c r="M28" i="20" s="1"/>
  <c r="S27" i="20"/>
  <c r="R27" i="20"/>
  <c r="K27" i="20"/>
  <c r="L27" i="20" s="1"/>
  <c r="J23" i="20"/>
  <c r="I23" i="20"/>
  <c r="H23" i="20"/>
  <c r="G23" i="20"/>
  <c r="F23" i="20"/>
  <c r="E23" i="20"/>
  <c r="D23" i="20"/>
  <c r="C23" i="20"/>
  <c r="B23" i="20"/>
  <c r="K22" i="20"/>
  <c r="L22" i="20" s="1"/>
  <c r="M22" i="20" s="1"/>
  <c r="K11" i="20"/>
  <c r="L11" i="20" s="1"/>
  <c r="M11" i="20" s="1"/>
  <c r="K10" i="20"/>
  <c r="L10" i="20" s="1"/>
  <c r="M10" i="20" s="1"/>
  <c r="K9" i="20"/>
  <c r="L9" i="20" s="1"/>
  <c r="M9" i="20" s="1"/>
  <c r="K8" i="20"/>
  <c r="L8" i="20" s="1"/>
  <c r="M8" i="20" s="1"/>
  <c r="K7" i="20"/>
  <c r="L7" i="20" s="1"/>
  <c r="M7" i="20" s="1"/>
  <c r="K6" i="20"/>
  <c r="L6" i="20" s="1"/>
  <c r="M6" i="20" s="1"/>
  <c r="K5" i="20"/>
  <c r="K4" i="20"/>
  <c r="L4" i="20" s="1"/>
  <c r="M4" i="20" s="1"/>
  <c r="K3" i="20"/>
  <c r="L3" i="20" s="1"/>
  <c r="Q35" i="20" l="1"/>
  <c r="Q46" i="20"/>
  <c r="Q30" i="20"/>
  <c r="K47" i="20"/>
  <c r="K23" i="20"/>
  <c r="R47" i="20"/>
  <c r="L5" i="20"/>
  <c r="M5" i="20" s="1"/>
  <c r="Q29" i="20" s="1"/>
  <c r="S47" i="20"/>
  <c r="Q34" i="20"/>
  <c r="Q32" i="20"/>
  <c r="Q28" i="20"/>
  <c r="Q33" i="20"/>
  <c r="L47" i="20"/>
  <c r="M27" i="20"/>
  <c r="M47" i="20" s="1"/>
  <c r="Q31" i="20"/>
  <c r="M3" i="20"/>
  <c r="K3" i="3"/>
  <c r="K4" i="3"/>
  <c r="K5" i="3"/>
  <c r="K6" i="3"/>
  <c r="K7" i="3"/>
  <c r="K8" i="3"/>
  <c r="K9" i="3"/>
  <c r="K10" i="3"/>
  <c r="K11" i="3"/>
  <c r="D21" i="14"/>
  <c r="D4" i="14"/>
  <c r="C21" i="14"/>
  <c r="C4" i="14"/>
  <c r="X27" i="19"/>
  <c r="J27" i="19"/>
  <c r="I27" i="19"/>
  <c r="H27" i="19"/>
  <c r="G27" i="19"/>
  <c r="F27" i="19"/>
  <c r="E27" i="19"/>
  <c r="D27" i="19"/>
  <c r="C27" i="19"/>
  <c r="B27" i="19"/>
  <c r="X26" i="19"/>
  <c r="S26" i="19"/>
  <c r="R26" i="19"/>
  <c r="K26" i="19"/>
  <c r="L26" i="19" s="1"/>
  <c r="M26" i="19" s="1"/>
  <c r="S25" i="19"/>
  <c r="R25" i="19"/>
  <c r="K25" i="19"/>
  <c r="L25" i="19" s="1"/>
  <c r="M25" i="19" s="1"/>
  <c r="S24" i="19"/>
  <c r="R24" i="19"/>
  <c r="K24" i="19"/>
  <c r="L24" i="19" s="1"/>
  <c r="M24" i="19" s="1"/>
  <c r="S23" i="19"/>
  <c r="R23" i="19"/>
  <c r="K23" i="19"/>
  <c r="L23" i="19" s="1"/>
  <c r="M23" i="19" s="1"/>
  <c r="S22" i="19"/>
  <c r="R22" i="19"/>
  <c r="K22" i="19"/>
  <c r="L22" i="19" s="1"/>
  <c r="M22" i="19" s="1"/>
  <c r="S21" i="19"/>
  <c r="R21" i="19"/>
  <c r="K21" i="19"/>
  <c r="L21" i="19" s="1"/>
  <c r="M21" i="19" s="1"/>
  <c r="S20" i="19"/>
  <c r="R20" i="19"/>
  <c r="K20" i="19"/>
  <c r="L20" i="19" s="1"/>
  <c r="M20" i="19" s="1"/>
  <c r="S19" i="19"/>
  <c r="R19" i="19"/>
  <c r="K19" i="19"/>
  <c r="L19" i="19" s="1"/>
  <c r="M19" i="19" s="1"/>
  <c r="S18" i="19"/>
  <c r="R18" i="19"/>
  <c r="K18" i="19"/>
  <c r="L18" i="19" s="1"/>
  <c r="M18" i="19" s="1"/>
  <c r="S17" i="19"/>
  <c r="R17" i="19"/>
  <c r="K17" i="19"/>
  <c r="J13" i="19"/>
  <c r="I13" i="19"/>
  <c r="H13" i="19"/>
  <c r="G13" i="19"/>
  <c r="F13" i="19"/>
  <c r="E13" i="19"/>
  <c r="D13" i="19"/>
  <c r="C13" i="19"/>
  <c r="B13" i="19"/>
  <c r="K12" i="19"/>
  <c r="L12" i="19" s="1"/>
  <c r="M12" i="19" s="1"/>
  <c r="K11" i="19"/>
  <c r="L11" i="19" s="1"/>
  <c r="M11" i="19" s="1"/>
  <c r="K10" i="19"/>
  <c r="L10" i="19" s="1"/>
  <c r="M10" i="19" s="1"/>
  <c r="K9" i="19"/>
  <c r="L9" i="19" s="1"/>
  <c r="M9" i="19" s="1"/>
  <c r="K8" i="19"/>
  <c r="L8" i="19" s="1"/>
  <c r="M8" i="19" s="1"/>
  <c r="K7" i="19"/>
  <c r="L7" i="19" s="1"/>
  <c r="M7" i="19" s="1"/>
  <c r="K6" i="19"/>
  <c r="L6" i="19" s="1"/>
  <c r="M6" i="19" s="1"/>
  <c r="K5" i="19"/>
  <c r="L5" i="19" s="1"/>
  <c r="M5" i="19" s="1"/>
  <c r="K4" i="19"/>
  <c r="L4" i="19" s="1"/>
  <c r="M4" i="19" s="1"/>
  <c r="K3" i="19"/>
  <c r="L3" i="19" s="1"/>
  <c r="X27" i="18"/>
  <c r="J27" i="18"/>
  <c r="I27" i="18"/>
  <c r="H27" i="18"/>
  <c r="G27" i="18"/>
  <c r="F27" i="18"/>
  <c r="E27" i="18"/>
  <c r="D27" i="18"/>
  <c r="C27" i="18"/>
  <c r="B27" i="18"/>
  <c r="X26" i="18"/>
  <c r="S26" i="18"/>
  <c r="R26" i="18"/>
  <c r="K26" i="18"/>
  <c r="L26" i="18" s="1"/>
  <c r="M26" i="18" s="1"/>
  <c r="S25" i="18"/>
  <c r="R25" i="18"/>
  <c r="K25" i="18"/>
  <c r="L25" i="18" s="1"/>
  <c r="M25" i="18" s="1"/>
  <c r="S24" i="18"/>
  <c r="R24" i="18"/>
  <c r="K24" i="18"/>
  <c r="L24" i="18" s="1"/>
  <c r="M24" i="18" s="1"/>
  <c r="S23" i="18"/>
  <c r="R23" i="18"/>
  <c r="K23" i="18"/>
  <c r="L23" i="18" s="1"/>
  <c r="M23" i="18" s="1"/>
  <c r="S22" i="18"/>
  <c r="R22" i="18"/>
  <c r="K22" i="18"/>
  <c r="L22" i="18" s="1"/>
  <c r="M22" i="18" s="1"/>
  <c r="S21" i="18"/>
  <c r="R21" i="18"/>
  <c r="K21" i="18"/>
  <c r="L21" i="18" s="1"/>
  <c r="M21" i="18" s="1"/>
  <c r="S20" i="18"/>
  <c r="R20" i="18"/>
  <c r="K20" i="18"/>
  <c r="L20" i="18" s="1"/>
  <c r="M20" i="18" s="1"/>
  <c r="S19" i="18"/>
  <c r="R19" i="18"/>
  <c r="K19" i="18"/>
  <c r="L19" i="18" s="1"/>
  <c r="M19" i="18" s="1"/>
  <c r="S18" i="18"/>
  <c r="R18" i="18"/>
  <c r="K18" i="18"/>
  <c r="L18" i="18" s="1"/>
  <c r="M18" i="18" s="1"/>
  <c r="S17" i="18"/>
  <c r="R17" i="18"/>
  <c r="K17" i="18"/>
  <c r="L17" i="18" s="1"/>
  <c r="J13" i="18"/>
  <c r="I13" i="18"/>
  <c r="H13" i="18"/>
  <c r="G13" i="18"/>
  <c r="F13" i="18"/>
  <c r="E13" i="18"/>
  <c r="D13" i="18"/>
  <c r="C13" i="18"/>
  <c r="B13" i="18"/>
  <c r="K12" i="18"/>
  <c r="L12" i="18" s="1"/>
  <c r="M12" i="18" s="1"/>
  <c r="K11" i="18"/>
  <c r="L11" i="18" s="1"/>
  <c r="M11" i="18" s="1"/>
  <c r="K10" i="18"/>
  <c r="L10" i="18" s="1"/>
  <c r="M10" i="18" s="1"/>
  <c r="K9" i="18"/>
  <c r="L9" i="18" s="1"/>
  <c r="M9" i="18" s="1"/>
  <c r="K8" i="18"/>
  <c r="L8" i="18" s="1"/>
  <c r="M8" i="18" s="1"/>
  <c r="K7" i="18"/>
  <c r="L7" i="18" s="1"/>
  <c r="M7" i="18" s="1"/>
  <c r="K6" i="18"/>
  <c r="L6" i="18" s="1"/>
  <c r="M6" i="18" s="1"/>
  <c r="K5" i="18"/>
  <c r="L5" i="18" s="1"/>
  <c r="M5" i="18" s="1"/>
  <c r="K4" i="18"/>
  <c r="K3" i="18"/>
  <c r="L3" i="18" s="1"/>
  <c r="Q21" i="19" l="1"/>
  <c r="L23" i="20"/>
  <c r="M23" i="20"/>
  <c r="Q27" i="20"/>
  <c r="Q47" i="20" s="1"/>
  <c r="M4" i="14"/>
  <c r="M21" i="14"/>
  <c r="K13" i="19"/>
  <c r="K27" i="19"/>
  <c r="R27" i="19"/>
  <c r="S27" i="19"/>
  <c r="S27" i="18"/>
  <c r="R27" i="18"/>
  <c r="K27" i="18"/>
  <c r="K13" i="18"/>
  <c r="Q22" i="18"/>
  <c r="Q23" i="19"/>
  <c r="Q25" i="19"/>
  <c r="L13" i="19"/>
  <c r="M3" i="19"/>
  <c r="Q26" i="19"/>
  <c r="Q18" i="19"/>
  <c r="Q19" i="19"/>
  <c r="Q24" i="19"/>
  <c r="Q20" i="19"/>
  <c r="Q22" i="19"/>
  <c r="L17" i="19"/>
  <c r="Q24" i="18"/>
  <c r="L27" i="18"/>
  <c r="M17" i="18"/>
  <c r="M27" i="18" s="1"/>
  <c r="Q20" i="18"/>
  <c r="Q25" i="18"/>
  <c r="Q23" i="18"/>
  <c r="Q19" i="18"/>
  <c r="Q26" i="18"/>
  <c r="Q21" i="18"/>
  <c r="M3" i="18"/>
  <c r="L4" i="18"/>
  <c r="M4" i="18" s="1"/>
  <c r="L13" i="18" l="1"/>
  <c r="L27" i="19"/>
  <c r="M17" i="19"/>
  <c r="M27" i="19" s="1"/>
  <c r="M13" i="19"/>
  <c r="Q18" i="18"/>
  <c r="Q17" i="18"/>
  <c r="M13" i="18"/>
  <c r="Q17" i="19" l="1"/>
  <c r="Q27" i="19" s="1"/>
  <c r="Q27" i="18"/>
  <c r="C24" i="14" l="1"/>
  <c r="C7" i="14"/>
  <c r="D7" i="14" l="1"/>
  <c r="M7" i="14" s="1"/>
  <c r="D24" i="14"/>
  <c r="M24" i="14" s="1"/>
  <c r="X27" i="16" l="1"/>
  <c r="J27" i="16"/>
  <c r="I27" i="16"/>
  <c r="H27" i="16"/>
  <c r="G27" i="16"/>
  <c r="F27" i="16"/>
  <c r="E27" i="16"/>
  <c r="D27" i="16"/>
  <c r="C27" i="16"/>
  <c r="B27" i="16"/>
  <c r="X26" i="16"/>
  <c r="S26" i="16"/>
  <c r="R26" i="16"/>
  <c r="K26" i="16"/>
  <c r="L26" i="16" s="1"/>
  <c r="M26" i="16" s="1"/>
  <c r="S25" i="16"/>
  <c r="R25" i="16"/>
  <c r="K25" i="16"/>
  <c r="L25" i="16" s="1"/>
  <c r="M25" i="16" s="1"/>
  <c r="S24" i="16"/>
  <c r="R24" i="16"/>
  <c r="K24" i="16"/>
  <c r="L24" i="16" s="1"/>
  <c r="M24" i="16" s="1"/>
  <c r="S23" i="16"/>
  <c r="R23" i="16"/>
  <c r="K23" i="16"/>
  <c r="L23" i="16" s="1"/>
  <c r="M23" i="16" s="1"/>
  <c r="S22" i="16"/>
  <c r="R22" i="16"/>
  <c r="K22" i="16"/>
  <c r="L22" i="16" s="1"/>
  <c r="M22" i="16" s="1"/>
  <c r="S21" i="16"/>
  <c r="R21" i="16"/>
  <c r="K21" i="16"/>
  <c r="L21" i="16" s="1"/>
  <c r="M21" i="16" s="1"/>
  <c r="S20" i="16"/>
  <c r="R20" i="16"/>
  <c r="K20" i="16"/>
  <c r="L20" i="16" s="1"/>
  <c r="M20" i="16" s="1"/>
  <c r="S19" i="16"/>
  <c r="R19" i="16"/>
  <c r="K19" i="16"/>
  <c r="L19" i="16" s="1"/>
  <c r="M19" i="16" s="1"/>
  <c r="S18" i="16"/>
  <c r="R18" i="16"/>
  <c r="K18" i="16"/>
  <c r="L18" i="16" s="1"/>
  <c r="M18" i="16" s="1"/>
  <c r="S17" i="16"/>
  <c r="R17" i="16"/>
  <c r="K17" i="16"/>
  <c r="J13" i="16"/>
  <c r="I13" i="16"/>
  <c r="H13" i="16"/>
  <c r="G13" i="16"/>
  <c r="F13" i="16"/>
  <c r="E13" i="16"/>
  <c r="D13" i="16"/>
  <c r="C13" i="16"/>
  <c r="B13" i="16"/>
  <c r="K12" i="16"/>
  <c r="L12" i="16" s="1"/>
  <c r="M12" i="16" s="1"/>
  <c r="K11" i="16"/>
  <c r="L11" i="16" s="1"/>
  <c r="M11" i="16" s="1"/>
  <c r="K10" i="16"/>
  <c r="L10" i="16" s="1"/>
  <c r="M10" i="16" s="1"/>
  <c r="K9" i="16"/>
  <c r="L9" i="16" s="1"/>
  <c r="M9" i="16" s="1"/>
  <c r="K8" i="16"/>
  <c r="L8" i="16" s="1"/>
  <c r="M8" i="16" s="1"/>
  <c r="K7" i="16"/>
  <c r="L7" i="16" s="1"/>
  <c r="M7" i="16" s="1"/>
  <c r="K6" i="16"/>
  <c r="L6" i="16" s="1"/>
  <c r="M6" i="16" s="1"/>
  <c r="K5" i="16"/>
  <c r="L5" i="16" s="1"/>
  <c r="M5" i="16" s="1"/>
  <c r="K4" i="16"/>
  <c r="L4" i="16" s="1"/>
  <c r="K3" i="16"/>
  <c r="L3" i="16" s="1"/>
  <c r="M3" i="16" s="1"/>
  <c r="X27" i="15"/>
  <c r="J27" i="15"/>
  <c r="I27" i="15"/>
  <c r="H27" i="15"/>
  <c r="G27" i="15"/>
  <c r="F27" i="15"/>
  <c r="E27" i="15"/>
  <c r="D27" i="15"/>
  <c r="C27" i="15"/>
  <c r="B27" i="15"/>
  <c r="X26" i="15"/>
  <c r="S26" i="15"/>
  <c r="R26" i="15"/>
  <c r="K26" i="15"/>
  <c r="L26" i="15" s="1"/>
  <c r="M26" i="15" s="1"/>
  <c r="S25" i="15"/>
  <c r="R25" i="15"/>
  <c r="K25" i="15"/>
  <c r="L25" i="15" s="1"/>
  <c r="M25" i="15" s="1"/>
  <c r="S24" i="15"/>
  <c r="R24" i="15"/>
  <c r="K24" i="15"/>
  <c r="L24" i="15" s="1"/>
  <c r="M24" i="15" s="1"/>
  <c r="S23" i="15"/>
  <c r="R23" i="15"/>
  <c r="K23" i="15"/>
  <c r="L23" i="15" s="1"/>
  <c r="M23" i="15" s="1"/>
  <c r="S22" i="15"/>
  <c r="R22" i="15"/>
  <c r="K22" i="15"/>
  <c r="L22" i="15" s="1"/>
  <c r="M22" i="15" s="1"/>
  <c r="S21" i="15"/>
  <c r="R21" i="15"/>
  <c r="K21" i="15"/>
  <c r="L21" i="15" s="1"/>
  <c r="M21" i="15" s="1"/>
  <c r="S20" i="15"/>
  <c r="R20" i="15"/>
  <c r="K20" i="15"/>
  <c r="L20" i="15" s="1"/>
  <c r="M20" i="15" s="1"/>
  <c r="S19" i="15"/>
  <c r="R19" i="15"/>
  <c r="K19" i="15"/>
  <c r="L19" i="15" s="1"/>
  <c r="M19" i="15" s="1"/>
  <c r="S18" i="15"/>
  <c r="R18" i="15"/>
  <c r="K18" i="15"/>
  <c r="L18" i="15" s="1"/>
  <c r="M18" i="15" s="1"/>
  <c r="S17" i="15"/>
  <c r="R17" i="15"/>
  <c r="K17" i="15"/>
  <c r="J13" i="15"/>
  <c r="I13" i="15"/>
  <c r="H13" i="15"/>
  <c r="G13" i="15"/>
  <c r="F13" i="15"/>
  <c r="E13" i="15"/>
  <c r="D13" i="15"/>
  <c r="C13" i="15"/>
  <c r="B13" i="15"/>
  <c r="K12" i="15"/>
  <c r="L12" i="15" s="1"/>
  <c r="M12" i="15" s="1"/>
  <c r="K11" i="15"/>
  <c r="L11" i="15" s="1"/>
  <c r="M11" i="15" s="1"/>
  <c r="K10" i="15"/>
  <c r="K9" i="15"/>
  <c r="L9" i="15" s="1"/>
  <c r="M9" i="15" s="1"/>
  <c r="K8" i="15"/>
  <c r="L8" i="15" s="1"/>
  <c r="M8" i="15" s="1"/>
  <c r="K7" i="15"/>
  <c r="L7" i="15" s="1"/>
  <c r="M7" i="15" s="1"/>
  <c r="K6" i="15"/>
  <c r="L6" i="15" s="1"/>
  <c r="M6" i="15" s="1"/>
  <c r="K5" i="15"/>
  <c r="L5" i="15" s="1"/>
  <c r="M5" i="15" s="1"/>
  <c r="K4" i="15"/>
  <c r="L4" i="15" s="1"/>
  <c r="M4" i="15" s="1"/>
  <c r="K3" i="15"/>
  <c r="L3" i="15" s="1"/>
  <c r="Q22" i="15" l="1"/>
  <c r="Q19" i="16"/>
  <c r="Q23" i="16"/>
  <c r="Q20" i="15"/>
  <c r="Q21" i="15"/>
  <c r="Q26" i="15"/>
  <c r="Q22" i="16"/>
  <c r="K27" i="15"/>
  <c r="Q20" i="16"/>
  <c r="K27" i="16"/>
  <c r="Q18" i="15"/>
  <c r="L17" i="16"/>
  <c r="L27" i="16" s="1"/>
  <c r="Q25" i="16"/>
  <c r="Q25" i="15"/>
  <c r="Q21" i="16"/>
  <c r="R27" i="15"/>
  <c r="S27" i="15"/>
  <c r="K13" i="15"/>
  <c r="R27" i="16"/>
  <c r="S27" i="16"/>
  <c r="L13" i="16"/>
  <c r="Q24" i="16"/>
  <c r="Q26" i="16"/>
  <c r="K13" i="16"/>
  <c r="M4" i="16"/>
  <c r="Q18" i="16" s="1"/>
  <c r="Q23" i="15"/>
  <c r="Q19" i="15"/>
  <c r="M3" i="15"/>
  <c r="L10" i="15"/>
  <c r="M10" i="15" s="1"/>
  <c r="Q24" i="15" s="1"/>
  <c r="L17" i="15"/>
  <c r="M17" i="16" l="1"/>
  <c r="M27" i="16" s="1"/>
  <c r="M13" i="16"/>
  <c r="L27" i="15"/>
  <c r="M17" i="15"/>
  <c r="L13" i="15"/>
  <c r="M13" i="15"/>
  <c r="J16" i="7"/>
  <c r="R23" i="3"/>
  <c r="M27" i="15" l="1"/>
  <c r="Q17" i="15"/>
  <c r="Q27" i="15" s="1"/>
  <c r="Q17" i="16"/>
  <c r="Q27" i="16" s="1"/>
  <c r="D3" i="14"/>
  <c r="C3" i="14"/>
  <c r="D20" i="14"/>
  <c r="C20" i="14"/>
  <c r="M20" i="14" l="1"/>
  <c r="M3" i="14"/>
  <c r="D23" i="14"/>
  <c r="C23" i="14"/>
  <c r="K17" i="12"/>
  <c r="K18" i="12"/>
  <c r="K19" i="12"/>
  <c r="K20" i="12"/>
  <c r="K21" i="12"/>
  <c r="K22" i="12"/>
  <c r="K23" i="12"/>
  <c r="K24" i="12"/>
  <c r="K25" i="12"/>
  <c r="K26" i="12"/>
  <c r="C14" i="6"/>
  <c r="D7" i="6"/>
  <c r="D5" i="6"/>
  <c r="C6" i="14"/>
  <c r="D6" i="14"/>
  <c r="C25" i="14"/>
  <c r="C8" i="14"/>
  <c r="D25" i="14"/>
  <c r="D8" i="14"/>
  <c r="D22" i="14"/>
  <c r="D5" i="14"/>
  <c r="C22" i="14"/>
  <c r="C5" i="14"/>
  <c r="X55" i="3"/>
  <c r="J55" i="3"/>
  <c r="I55" i="3"/>
  <c r="H55" i="3"/>
  <c r="G55" i="3"/>
  <c r="F55" i="3"/>
  <c r="E55" i="3"/>
  <c r="D55" i="3"/>
  <c r="C55" i="3"/>
  <c r="B55" i="3"/>
  <c r="X54" i="3"/>
  <c r="S54" i="3"/>
  <c r="R54" i="3"/>
  <c r="K54" i="3"/>
  <c r="L54" i="3" s="1"/>
  <c r="M54" i="3" s="1"/>
  <c r="S53" i="3"/>
  <c r="R53" i="3"/>
  <c r="K53" i="3"/>
  <c r="L53" i="3" s="1"/>
  <c r="M53" i="3" s="1"/>
  <c r="S52" i="3"/>
  <c r="R52" i="3"/>
  <c r="K52" i="3"/>
  <c r="L52" i="3" s="1"/>
  <c r="M52" i="3" s="1"/>
  <c r="S51" i="3"/>
  <c r="R51" i="3"/>
  <c r="K51" i="3"/>
  <c r="L51" i="3" s="1"/>
  <c r="M51" i="3" s="1"/>
  <c r="S50" i="3"/>
  <c r="R50" i="3"/>
  <c r="K50" i="3"/>
  <c r="L50" i="3" s="1"/>
  <c r="M50" i="3" s="1"/>
  <c r="S49" i="3"/>
  <c r="R49" i="3"/>
  <c r="K49" i="3"/>
  <c r="L49" i="3" s="1"/>
  <c r="M49" i="3" s="1"/>
  <c r="S48" i="3"/>
  <c r="R48" i="3"/>
  <c r="K48" i="3"/>
  <c r="L48" i="3" s="1"/>
  <c r="M48" i="3" s="1"/>
  <c r="S47" i="3"/>
  <c r="R47" i="3"/>
  <c r="K47" i="3"/>
  <c r="L47" i="3" s="1"/>
  <c r="M47" i="3" s="1"/>
  <c r="S46" i="3"/>
  <c r="R46" i="3"/>
  <c r="K46" i="3"/>
  <c r="L46" i="3" s="1"/>
  <c r="M46" i="3" s="1"/>
  <c r="S45" i="3"/>
  <c r="R45" i="3"/>
  <c r="K45" i="3"/>
  <c r="M22" i="14" l="1"/>
  <c r="M25" i="14"/>
  <c r="M9" i="14"/>
  <c r="M23" i="14"/>
  <c r="M5" i="14"/>
  <c r="M26" i="14"/>
  <c r="M8" i="14"/>
  <c r="M6" i="14"/>
  <c r="E5" i="6"/>
  <c r="F5" i="6" s="1"/>
  <c r="E7" i="6"/>
  <c r="F7" i="6" s="1"/>
  <c r="K55" i="3"/>
  <c r="L45" i="3"/>
  <c r="L55" i="3" s="1"/>
  <c r="R55" i="3"/>
  <c r="S55" i="3"/>
  <c r="K76" i="3"/>
  <c r="N30" i="20" l="1"/>
  <c r="N36" i="20"/>
  <c r="N40" i="20"/>
  <c r="N44" i="20"/>
  <c r="N14" i="20"/>
  <c r="O12" i="20"/>
  <c r="O20" i="20"/>
  <c r="N22" i="20"/>
  <c r="N19" i="20"/>
  <c r="N43" i="20"/>
  <c r="N13" i="20"/>
  <c r="O3" i="20"/>
  <c r="O36" i="20"/>
  <c r="O40" i="20"/>
  <c r="O44" i="20"/>
  <c r="N15" i="20"/>
  <c r="O13" i="20"/>
  <c r="O21" i="20"/>
  <c r="O42" i="20"/>
  <c r="N35" i="20"/>
  <c r="O10" i="20"/>
  <c r="N39" i="20"/>
  <c r="N20" i="20"/>
  <c r="O18" i="20"/>
  <c r="O39" i="20"/>
  <c r="O43" i="20"/>
  <c r="N21" i="20"/>
  <c r="N37" i="20"/>
  <c r="N41" i="20"/>
  <c r="N45" i="20"/>
  <c r="N16" i="20"/>
  <c r="O14" i="20"/>
  <c r="O11" i="20"/>
  <c r="O37" i="20"/>
  <c r="O41" i="20"/>
  <c r="O45" i="20"/>
  <c r="N17" i="20"/>
  <c r="O15" i="20"/>
  <c r="N11" i="20"/>
  <c r="O38" i="20"/>
  <c r="O19" i="20"/>
  <c r="N38" i="20"/>
  <c r="N42" i="20"/>
  <c r="O35" i="20"/>
  <c r="N18" i="20"/>
  <c r="O16" i="20"/>
  <c r="O5" i="20"/>
  <c r="O17" i="20"/>
  <c r="N12" i="20"/>
  <c r="N46" i="20"/>
  <c r="N32" i="20"/>
  <c r="N27" i="20"/>
  <c r="O9" i="20"/>
  <c r="N33" i="20"/>
  <c r="N28" i="20"/>
  <c r="O22" i="20"/>
  <c r="N10" i="20"/>
  <c r="O7" i="20"/>
  <c r="O32" i="20"/>
  <c r="O30" i="20"/>
  <c r="N9" i="20"/>
  <c r="O6" i="20"/>
  <c r="N3" i="20"/>
  <c r="O46" i="20"/>
  <c r="O33" i="20"/>
  <c r="O28" i="20"/>
  <c r="N6" i="20"/>
  <c r="O8" i="20"/>
  <c r="O31" i="20"/>
  <c r="N8" i="20"/>
  <c r="N5" i="20"/>
  <c r="O27" i="20"/>
  <c r="O47" i="20" s="1"/>
  <c r="N4" i="20"/>
  <c r="O34" i="20"/>
  <c r="N31" i="20"/>
  <c r="O29" i="20"/>
  <c r="N34" i="20"/>
  <c r="N29" i="20"/>
  <c r="O4" i="20"/>
  <c r="N7" i="20"/>
  <c r="J17" i="7"/>
  <c r="C23" i="7"/>
  <c r="D23" i="7" s="1"/>
  <c r="O20" i="12"/>
  <c r="O25" i="19"/>
  <c r="N22" i="19"/>
  <c r="O17" i="19"/>
  <c r="O11" i="19"/>
  <c r="N6" i="19"/>
  <c r="N25" i="18"/>
  <c r="N21" i="18"/>
  <c r="O12" i="18"/>
  <c r="O8" i="18"/>
  <c r="O4" i="18"/>
  <c r="N25" i="19"/>
  <c r="O20" i="19"/>
  <c r="N17" i="19"/>
  <c r="N11" i="19"/>
  <c r="O8" i="19"/>
  <c r="O24" i="18"/>
  <c r="O20" i="18"/>
  <c r="N12" i="18"/>
  <c r="N8" i="18"/>
  <c r="N4" i="18"/>
  <c r="N22" i="18"/>
  <c r="O5" i="18"/>
  <c r="O23" i="19"/>
  <c r="N20" i="19"/>
  <c r="N8" i="19"/>
  <c r="O5" i="19"/>
  <c r="O3" i="19"/>
  <c r="N24" i="18"/>
  <c r="O19" i="18"/>
  <c r="O11" i="18"/>
  <c r="O7" i="18"/>
  <c r="O3" i="18"/>
  <c r="O26" i="19"/>
  <c r="N23" i="19"/>
  <c r="O18" i="19"/>
  <c r="O10" i="19"/>
  <c r="N5" i="19"/>
  <c r="N3" i="19"/>
  <c r="O23" i="18"/>
  <c r="N19" i="18"/>
  <c r="N11" i="18"/>
  <c r="N7" i="18"/>
  <c r="N3" i="18"/>
  <c r="O19" i="19"/>
  <c r="N26" i="19"/>
  <c r="O21" i="19"/>
  <c r="N18" i="19"/>
  <c r="O12" i="19"/>
  <c r="N10" i="19"/>
  <c r="O7" i="19"/>
  <c r="N23" i="18"/>
  <c r="O18" i="18"/>
  <c r="O10" i="18"/>
  <c r="O6" i="18"/>
  <c r="N26" i="18"/>
  <c r="O9" i="18"/>
  <c r="N20" i="18"/>
  <c r="O24" i="19"/>
  <c r="N21" i="19"/>
  <c r="N12" i="19"/>
  <c r="N7" i="19"/>
  <c r="O26" i="18"/>
  <c r="O22" i="18"/>
  <c r="N18" i="18"/>
  <c r="N10" i="18"/>
  <c r="N6" i="18"/>
  <c r="O9" i="19"/>
  <c r="O22" i="19"/>
  <c r="N19" i="19"/>
  <c r="N9" i="19"/>
  <c r="O6" i="19"/>
  <c r="N4" i="19"/>
  <c r="O25" i="18"/>
  <c r="O21" i="18"/>
  <c r="N17" i="18"/>
  <c r="N9" i="18"/>
  <c r="N5" i="18"/>
  <c r="N24" i="19"/>
  <c r="O4" i="19"/>
  <c r="O17" i="18"/>
  <c r="O24" i="16"/>
  <c r="N20" i="16"/>
  <c r="O9" i="16"/>
  <c r="O4" i="16"/>
  <c r="O22" i="15"/>
  <c r="N19" i="15"/>
  <c r="O11" i="15"/>
  <c r="O6" i="15"/>
  <c r="O4" i="15"/>
  <c r="O17" i="16"/>
  <c r="O11" i="16"/>
  <c r="N9" i="16"/>
  <c r="O6" i="16"/>
  <c r="N4" i="16"/>
  <c r="O25" i="15"/>
  <c r="N22" i="15"/>
  <c r="O17" i="15"/>
  <c r="N11" i="15"/>
  <c r="N6" i="15"/>
  <c r="N4" i="15"/>
  <c r="N24" i="16"/>
  <c r="O21" i="16"/>
  <c r="N17" i="16"/>
  <c r="N11" i="16"/>
  <c r="N6" i="16"/>
  <c r="N25" i="15"/>
  <c r="O20" i="15"/>
  <c r="N17" i="15"/>
  <c r="O8" i="15"/>
  <c r="N26" i="15"/>
  <c r="O21" i="15"/>
  <c r="N18" i="15"/>
  <c r="O12" i="15"/>
  <c r="N5" i="15"/>
  <c r="O25" i="16"/>
  <c r="N21" i="16"/>
  <c r="O18" i="16"/>
  <c r="O8" i="16"/>
  <c r="O3" i="16"/>
  <c r="O23" i="15"/>
  <c r="N20" i="15"/>
  <c r="O10" i="15"/>
  <c r="N8" i="15"/>
  <c r="O3" i="15"/>
  <c r="O5" i="15"/>
  <c r="N3" i="15"/>
  <c r="N25" i="16"/>
  <c r="O22" i="16"/>
  <c r="N18" i="16"/>
  <c r="N8" i="16"/>
  <c r="O5" i="16"/>
  <c r="N3" i="16"/>
  <c r="O26" i="15"/>
  <c r="N23" i="15"/>
  <c r="O18" i="15"/>
  <c r="N10" i="15"/>
  <c r="N22" i="16"/>
  <c r="O19" i="16"/>
  <c r="O12" i="16"/>
  <c r="O10" i="16"/>
  <c r="N5" i="16"/>
  <c r="O7" i="15"/>
  <c r="O26" i="16"/>
  <c r="N26" i="16"/>
  <c r="O23" i="16"/>
  <c r="N19" i="16"/>
  <c r="N12" i="16"/>
  <c r="N10" i="16"/>
  <c r="O7" i="16"/>
  <c r="O24" i="15"/>
  <c r="N21" i="15"/>
  <c r="N12" i="15"/>
  <c r="O9" i="15"/>
  <c r="N7" i="15"/>
  <c r="N23" i="16"/>
  <c r="O20" i="16"/>
  <c r="N7" i="16"/>
  <c r="N24" i="15"/>
  <c r="O19" i="15"/>
  <c r="N9" i="15"/>
  <c r="O21" i="12"/>
  <c r="N20" i="12"/>
  <c r="J20" i="7"/>
  <c r="O12" i="3"/>
  <c r="O8" i="3"/>
  <c r="O4" i="3"/>
  <c r="N8" i="3"/>
  <c r="O7" i="3"/>
  <c r="N11" i="3"/>
  <c r="O10" i="3"/>
  <c r="N6" i="3"/>
  <c r="O5" i="3"/>
  <c r="N12" i="3"/>
  <c r="N4" i="3"/>
  <c r="O3" i="3"/>
  <c r="N3" i="3"/>
  <c r="O6" i="3"/>
  <c r="N9" i="3"/>
  <c r="O11" i="3"/>
  <c r="N10" i="3"/>
  <c r="N7" i="3"/>
  <c r="O9" i="3"/>
  <c r="N5" i="3"/>
  <c r="O25" i="13"/>
  <c r="O21" i="13"/>
  <c r="O12" i="13"/>
  <c r="O8" i="13"/>
  <c r="O4" i="13"/>
  <c r="O24" i="12"/>
  <c r="O19" i="12"/>
  <c r="O11" i="12"/>
  <c r="O7" i="12"/>
  <c r="O3" i="12"/>
  <c r="O23" i="9"/>
  <c r="O19" i="9"/>
  <c r="O11" i="9"/>
  <c r="O7" i="9"/>
  <c r="O3" i="9"/>
  <c r="O23" i="8"/>
  <c r="O19" i="8"/>
  <c r="O11" i="8"/>
  <c r="O7" i="8"/>
  <c r="O3" i="8"/>
  <c r="O23" i="11"/>
  <c r="O19" i="11"/>
  <c r="O11" i="11"/>
  <c r="O7" i="11"/>
  <c r="O3" i="11"/>
  <c r="O23" i="10"/>
  <c r="O19" i="10"/>
  <c r="O11" i="10"/>
  <c r="O7" i="10"/>
  <c r="O3" i="10"/>
  <c r="N25" i="13"/>
  <c r="N21" i="13"/>
  <c r="N12" i="13"/>
  <c r="N8" i="13"/>
  <c r="N4" i="13"/>
  <c r="N24" i="12"/>
  <c r="N19" i="12"/>
  <c r="N11" i="12"/>
  <c r="N7" i="12"/>
  <c r="N3" i="12"/>
  <c r="N23" i="9"/>
  <c r="N19" i="9"/>
  <c r="N11" i="9"/>
  <c r="N7" i="9"/>
  <c r="N3" i="9"/>
  <c r="N23" i="8"/>
  <c r="N19" i="8"/>
  <c r="N11" i="8"/>
  <c r="N7" i="8"/>
  <c r="N3" i="8"/>
  <c r="N23" i="11"/>
  <c r="N19" i="11"/>
  <c r="N11" i="11"/>
  <c r="N7" i="11"/>
  <c r="N3" i="11"/>
  <c r="N23" i="10"/>
  <c r="N19" i="10"/>
  <c r="N11" i="10"/>
  <c r="N7" i="10"/>
  <c r="N3" i="10"/>
  <c r="N17" i="13"/>
  <c r="O24" i="13"/>
  <c r="O20" i="13"/>
  <c r="O11" i="13"/>
  <c r="O7" i="13"/>
  <c r="O3" i="13"/>
  <c r="O23" i="12"/>
  <c r="O18" i="12"/>
  <c r="O10" i="12"/>
  <c r="O6" i="12"/>
  <c r="O26" i="9"/>
  <c r="O22" i="9"/>
  <c r="O18" i="9"/>
  <c r="O10" i="9"/>
  <c r="O6" i="9"/>
  <c r="O26" i="8"/>
  <c r="O22" i="8"/>
  <c r="O18" i="8"/>
  <c r="O10" i="8"/>
  <c r="O6" i="8"/>
  <c r="O26" i="11"/>
  <c r="O22" i="11"/>
  <c r="O18" i="11"/>
  <c r="O10" i="11"/>
  <c r="O6" i="11"/>
  <c r="O26" i="10"/>
  <c r="O22" i="10"/>
  <c r="O18" i="10"/>
  <c r="O10" i="10"/>
  <c r="O6" i="10"/>
  <c r="O17" i="13"/>
  <c r="N24" i="13"/>
  <c r="N20" i="13"/>
  <c r="N11" i="13"/>
  <c r="N7" i="13"/>
  <c r="N3" i="13"/>
  <c r="N23" i="12"/>
  <c r="N18" i="12"/>
  <c r="N10" i="12"/>
  <c r="N6" i="12"/>
  <c r="N26" i="9"/>
  <c r="N22" i="9"/>
  <c r="N18" i="9"/>
  <c r="N10" i="9"/>
  <c r="N6" i="9"/>
  <c r="N26" i="8"/>
  <c r="N22" i="8"/>
  <c r="N18" i="8"/>
  <c r="N10" i="8"/>
  <c r="N6" i="8"/>
  <c r="N26" i="11"/>
  <c r="N22" i="11"/>
  <c r="N18" i="11"/>
  <c r="N10" i="11"/>
  <c r="N6" i="11"/>
  <c r="N26" i="10"/>
  <c r="N22" i="10"/>
  <c r="N18" i="10"/>
  <c r="N10" i="10"/>
  <c r="N6" i="10"/>
  <c r="O23" i="13"/>
  <c r="O19" i="13"/>
  <c r="O10" i="13"/>
  <c r="O6" i="13"/>
  <c r="O26" i="12"/>
  <c r="O22" i="12"/>
  <c r="O17" i="12"/>
  <c r="O9" i="12"/>
  <c r="O5" i="12"/>
  <c r="O25" i="9"/>
  <c r="O21" i="9"/>
  <c r="O17" i="9"/>
  <c r="O9" i="9"/>
  <c r="O5" i="9"/>
  <c r="O25" i="8"/>
  <c r="O21" i="8"/>
  <c r="O17" i="8"/>
  <c r="O9" i="8"/>
  <c r="O5" i="8"/>
  <c r="O25" i="11"/>
  <c r="O21" i="11"/>
  <c r="O17" i="11"/>
  <c r="O9" i="11"/>
  <c r="O5" i="11"/>
  <c r="O25" i="10"/>
  <c r="O21" i="10"/>
  <c r="O17" i="10"/>
  <c r="O9" i="10"/>
  <c r="O5" i="10"/>
  <c r="N23" i="13"/>
  <c r="N19" i="13"/>
  <c r="N10" i="13"/>
  <c r="N6" i="13"/>
  <c r="N26" i="12"/>
  <c r="N22" i="12"/>
  <c r="N17" i="12"/>
  <c r="N9" i="12"/>
  <c r="N5" i="12"/>
  <c r="N25" i="9"/>
  <c r="N21" i="9"/>
  <c r="N17" i="9"/>
  <c r="N9" i="9"/>
  <c r="N5" i="9"/>
  <c r="N25" i="8"/>
  <c r="N21" i="8"/>
  <c r="N17" i="8"/>
  <c r="N9" i="8"/>
  <c r="N5" i="8"/>
  <c r="N25" i="11"/>
  <c r="N21" i="11"/>
  <c r="N17" i="11"/>
  <c r="N9" i="11"/>
  <c r="N5" i="11"/>
  <c r="N25" i="10"/>
  <c r="N21" i="10"/>
  <c r="N17" i="10"/>
  <c r="N9" i="10"/>
  <c r="N5" i="10"/>
  <c r="O26" i="13"/>
  <c r="O22" i="13"/>
  <c r="O18" i="13"/>
  <c r="O9" i="13"/>
  <c r="O5" i="13"/>
  <c r="O25" i="12"/>
  <c r="N21" i="12"/>
  <c r="O12" i="12"/>
  <c r="O8" i="12"/>
  <c r="O4" i="12"/>
  <c r="O24" i="9"/>
  <c r="O20" i="9"/>
  <c r="O12" i="9"/>
  <c r="O8" i="9"/>
  <c r="O4" i="9"/>
  <c r="O24" i="8"/>
  <c r="O20" i="8"/>
  <c r="O12" i="8"/>
  <c r="O8" i="8"/>
  <c r="O4" i="8"/>
  <c r="O24" i="11"/>
  <c r="O20" i="11"/>
  <c r="O12" i="11"/>
  <c r="O8" i="11"/>
  <c r="O4" i="11"/>
  <c r="O24" i="10"/>
  <c r="O20" i="10"/>
  <c r="O12" i="10"/>
  <c r="O8" i="10"/>
  <c r="O4" i="10"/>
  <c r="N26" i="13"/>
  <c r="N22" i="13"/>
  <c r="N18" i="13"/>
  <c r="N9" i="13"/>
  <c r="N5" i="13"/>
  <c r="N25" i="12"/>
  <c r="N12" i="12"/>
  <c r="N8" i="12"/>
  <c r="N4" i="12"/>
  <c r="N24" i="9"/>
  <c r="N20" i="9"/>
  <c r="N12" i="9"/>
  <c r="N8" i="9"/>
  <c r="N4" i="9"/>
  <c r="N24" i="8"/>
  <c r="N20" i="8"/>
  <c r="N12" i="8"/>
  <c r="N8" i="8"/>
  <c r="N4" i="8"/>
  <c r="N24" i="11"/>
  <c r="N20" i="11"/>
  <c r="N12" i="11"/>
  <c r="N8" i="11"/>
  <c r="N4" i="11"/>
  <c r="N24" i="10"/>
  <c r="N20" i="10"/>
  <c r="N12" i="10"/>
  <c r="N8" i="10"/>
  <c r="N4" i="10"/>
  <c r="O96" i="3"/>
  <c r="O92" i="3"/>
  <c r="O88" i="3"/>
  <c r="O80" i="3"/>
  <c r="O76" i="3"/>
  <c r="O68" i="3"/>
  <c r="O64" i="3"/>
  <c r="O60" i="3"/>
  <c r="O52" i="3"/>
  <c r="O48" i="3"/>
  <c r="O40" i="3"/>
  <c r="O36" i="3"/>
  <c r="O32" i="3"/>
  <c r="O24" i="3"/>
  <c r="O20" i="3"/>
  <c r="N67" i="3"/>
  <c r="N35" i="3"/>
  <c r="N94" i="3"/>
  <c r="N74" i="3"/>
  <c r="N54" i="3"/>
  <c r="N38" i="3"/>
  <c r="N22" i="3"/>
  <c r="N96" i="3"/>
  <c r="N92" i="3"/>
  <c r="N88" i="3"/>
  <c r="N80" i="3"/>
  <c r="N76" i="3"/>
  <c r="N68" i="3"/>
  <c r="N64" i="3"/>
  <c r="N60" i="3"/>
  <c r="N52" i="3"/>
  <c r="N48" i="3"/>
  <c r="N40" i="3"/>
  <c r="N36" i="3"/>
  <c r="N32" i="3"/>
  <c r="N24" i="3"/>
  <c r="N20" i="3"/>
  <c r="N59" i="3"/>
  <c r="N23" i="3"/>
  <c r="N82" i="3"/>
  <c r="N62" i="3"/>
  <c r="N26" i="3"/>
  <c r="O95" i="3"/>
  <c r="O91" i="3"/>
  <c r="O87" i="3"/>
  <c r="O79" i="3"/>
  <c r="O75" i="3"/>
  <c r="O67" i="3"/>
  <c r="O63" i="3"/>
  <c r="O59" i="3"/>
  <c r="O51" i="3"/>
  <c r="O47" i="3"/>
  <c r="O39" i="3"/>
  <c r="O35" i="3"/>
  <c r="O31" i="3"/>
  <c r="O23" i="3"/>
  <c r="O19" i="3"/>
  <c r="N51" i="3"/>
  <c r="N19" i="3"/>
  <c r="O18" i="3"/>
  <c r="N78" i="3"/>
  <c r="N46" i="3"/>
  <c r="N95" i="3"/>
  <c r="N91" i="3"/>
  <c r="N87" i="3"/>
  <c r="N79" i="3"/>
  <c r="N75" i="3"/>
  <c r="N63" i="3"/>
  <c r="N47" i="3"/>
  <c r="N39" i="3"/>
  <c r="N31" i="3"/>
  <c r="N90" i="3"/>
  <c r="N66" i="3"/>
  <c r="N34" i="3"/>
  <c r="O94" i="3"/>
  <c r="O90" i="3"/>
  <c r="O82" i="3"/>
  <c r="O78" i="3"/>
  <c r="O74" i="3"/>
  <c r="O66" i="3"/>
  <c r="O62" i="3"/>
  <c r="O54" i="3"/>
  <c r="O50" i="3"/>
  <c r="O46" i="3"/>
  <c r="O38" i="3"/>
  <c r="O34" i="3"/>
  <c r="O26" i="3"/>
  <c r="O22" i="3"/>
  <c r="N50" i="3"/>
  <c r="N18" i="3"/>
  <c r="O93" i="3"/>
  <c r="O89" i="3"/>
  <c r="O81" i="3"/>
  <c r="O77" i="3"/>
  <c r="O73" i="3"/>
  <c r="O65" i="3"/>
  <c r="O61" i="3"/>
  <c r="O53" i="3"/>
  <c r="O49" i="3"/>
  <c r="O45" i="3"/>
  <c r="O37" i="3"/>
  <c r="O33" i="3"/>
  <c r="O25" i="3"/>
  <c r="O21" i="3"/>
  <c r="O17" i="3"/>
  <c r="N93" i="3"/>
  <c r="N89" i="3"/>
  <c r="N81" i="3"/>
  <c r="N77" i="3"/>
  <c r="N73" i="3"/>
  <c r="N65" i="3"/>
  <c r="N61" i="3"/>
  <c r="N53" i="3"/>
  <c r="N49" i="3"/>
  <c r="N45" i="3"/>
  <c r="N37" i="3"/>
  <c r="N33" i="3"/>
  <c r="N25" i="3"/>
  <c r="N21" i="3"/>
  <c r="N17" i="3"/>
  <c r="M45" i="3"/>
  <c r="M55" i="3" s="1"/>
  <c r="K89" i="3"/>
  <c r="L89" i="3" s="1"/>
  <c r="M89" i="3" s="1"/>
  <c r="X27" i="13"/>
  <c r="S75" i="3"/>
  <c r="X97" i="3"/>
  <c r="J97" i="3"/>
  <c r="I97" i="3"/>
  <c r="H97" i="3"/>
  <c r="G97" i="3"/>
  <c r="F97" i="3"/>
  <c r="E97" i="3"/>
  <c r="D97" i="3"/>
  <c r="C97" i="3"/>
  <c r="B97" i="3"/>
  <c r="X96" i="3"/>
  <c r="S96" i="3"/>
  <c r="R96" i="3"/>
  <c r="K96" i="3"/>
  <c r="L96" i="3" s="1"/>
  <c r="M96" i="3" s="1"/>
  <c r="S95" i="3"/>
  <c r="R95" i="3"/>
  <c r="K95" i="3"/>
  <c r="L95" i="3" s="1"/>
  <c r="M95" i="3" s="1"/>
  <c r="S94" i="3"/>
  <c r="R94" i="3"/>
  <c r="K94" i="3"/>
  <c r="L94" i="3" s="1"/>
  <c r="M94" i="3" s="1"/>
  <c r="S93" i="3"/>
  <c r="R93" i="3"/>
  <c r="K93" i="3"/>
  <c r="L93" i="3" s="1"/>
  <c r="M93" i="3" s="1"/>
  <c r="S92" i="3"/>
  <c r="R92" i="3"/>
  <c r="K92" i="3"/>
  <c r="L92" i="3" s="1"/>
  <c r="M92" i="3" s="1"/>
  <c r="S91" i="3"/>
  <c r="R91" i="3"/>
  <c r="K91" i="3"/>
  <c r="L91" i="3" s="1"/>
  <c r="S90" i="3"/>
  <c r="R90" i="3"/>
  <c r="K90" i="3"/>
  <c r="L90" i="3" s="1"/>
  <c r="M90" i="3" s="1"/>
  <c r="S89" i="3"/>
  <c r="R89" i="3"/>
  <c r="S88" i="3"/>
  <c r="R88" i="3"/>
  <c r="K88" i="3"/>
  <c r="L88" i="3" s="1"/>
  <c r="M88" i="3" s="1"/>
  <c r="S87" i="3"/>
  <c r="R87" i="3"/>
  <c r="K87" i="3"/>
  <c r="X83" i="3"/>
  <c r="J83" i="3"/>
  <c r="I83" i="3"/>
  <c r="H83" i="3"/>
  <c r="G83" i="3"/>
  <c r="F83" i="3"/>
  <c r="E83" i="3"/>
  <c r="D83" i="3"/>
  <c r="C83" i="3"/>
  <c r="B83" i="3"/>
  <c r="X82" i="3"/>
  <c r="S82" i="3"/>
  <c r="R82" i="3"/>
  <c r="K82" i="3"/>
  <c r="L82" i="3" s="1"/>
  <c r="M82" i="3" s="1"/>
  <c r="S81" i="3"/>
  <c r="R81" i="3"/>
  <c r="K81" i="3"/>
  <c r="L81" i="3" s="1"/>
  <c r="M81" i="3" s="1"/>
  <c r="S80" i="3"/>
  <c r="R80" i="3"/>
  <c r="K80" i="3"/>
  <c r="L80" i="3" s="1"/>
  <c r="M80" i="3" s="1"/>
  <c r="S79" i="3"/>
  <c r="R79" i="3"/>
  <c r="K79" i="3"/>
  <c r="L79" i="3" s="1"/>
  <c r="M79" i="3" s="1"/>
  <c r="S78" i="3"/>
  <c r="R78" i="3"/>
  <c r="K78" i="3"/>
  <c r="L78" i="3" s="1"/>
  <c r="M78" i="3" s="1"/>
  <c r="S77" i="3"/>
  <c r="R77" i="3"/>
  <c r="K77" i="3"/>
  <c r="L77" i="3" s="1"/>
  <c r="M77" i="3" s="1"/>
  <c r="S76" i="3"/>
  <c r="R76" i="3"/>
  <c r="L76" i="3"/>
  <c r="M76" i="3" s="1"/>
  <c r="R75" i="3"/>
  <c r="K75" i="3"/>
  <c r="L75" i="3" s="1"/>
  <c r="M75" i="3" s="1"/>
  <c r="S74" i="3"/>
  <c r="R74" i="3"/>
  <c r="K74" i="3"/>
  <c r="L74" i="3" s="1"/>
  <c r="S73" i="3"/>
  <c r="R73" i="3"/>
  <c r="K73" i="3"/>
  <c r="J27" i="13"/>
  <c r="I27" i="13"/>
  <c r="H27" i="13"/>
  <c r="G27" i="13"/>
  <c r="F27" i="13"/>
  <c r="E27" i="13"/>
  <c r="D27" i="13"/>
  <c r="C27" i="13"/>
  <c r="B27" i="13"/>
  <c r="X26" i="13"/>
  <c r="S26" i="13"/>
  <c r="R26" i="13"/>
  <c r="K26" i="13"/>
  <c r="L26" i="13" s="1"/>
  <c r="M26" i="13" s="1"/>
  <c r="S25" i="13"/>
  <c r="R25" i="13"/>
  <c r="K25" i="13"/>
  <c r="L25" i="13" s="1"/>
  <c r="M25" i="13" s="1"/>
  <c r="S24" i="13"/>
  <c r="R24" i="13"/>
  <c r="K24" i="13"/>
  <c r="L24" i="13" s="1"/>
  <c r="M24" i="13" s="1"/>
  <c r="S23" i="13"/>
  <c r="R23" i="13"/>
  <c r="K23" i="13"/>
  <c r="L23" i="13" s="1"/>
  <c r="M23" i="13" s="1"/>
  <c r="S22" i="13"/>
  <c r="R22" i="13"/>
  <c r="K22" i="13"/>
  <c r="L22" i="13" s="1"/>
  <c r="M22" i="13" s="1"/>
  <c r="S21" i="13"/>
  <c r="R21" i="13"/>
  <c r="K21" i="13"/>
  <c r="L21" i="13" s="1"/>
  <c r="M21" i="13" s="1"/>
  <c r="S20" i="13"/>
  <c r="R20" i="13"/>
  <c r="K20" i="13"/>
  <c r="L20" i="13" s="1"/>
  <c r="M20" i="13" s="1"/>
  <c r="S19" i="13"/>
  <c r="R19" i="13"/>
  <c r="K19" i="13"/>
  <c r="L19" i="13" s="1"/>
  <c r="M19" i="13" s="1"/>
  <c r="S18" i="13"/>
  <c r="R18" i="13"/>
  <c r="K18" i="13"/>
  <c r="L18" i="13" s="1"/>
  <c r="M18" i="13" s="1"/>
  <c r="S17" i="13"/>
  <c r="R17" i="13"/>
  <c r="K17" i="13"/>
  <c r="J13" i="13"/>
  <c r="I13" i="13"/>
  <c r="H13" i="13"/>
  <c r="G13" i="13"/>
  <c r="F13" i="13"/>
  <c r="E13" i="13"/>
  <c r="D13" i="13"/>
  <c r="C13" i="13"/>
  <c r="B13" i="13"/>
  <c r="K12" i="13"/>
  <c r="L12" i="13" s="1"/>
  <c r="M12" i="13" s="1"/>
  <c r="K11" i="13"/>
  <c r="L11" i="13" s="1"/>
  <c r="M11" i="13" s="1"/>
  <c r="K10" i="13"/>
  <c r="L10" i="13" s="1"/>
  <c r="M10" i="13" s="1"/>
  <c r="K9" i="13"/>
  <c r="L9" i="13" s="1"/>
  <c r="M9" i="13" s="1"/>
  <c r="K8" i="13"/>
  <c r="L8" i="13" s="1"/>
  <c r="M8" i="13" s="1"/>
  <c r="K7" i="13"/>
  <c r="L7" i="13" s="1"/>
  <c r="M7" i="13" s="1"/>
  <c r="K6" i="13"/>
  <c r="L6" i="13" s="1"/>
  <c r="M6" i="13" s="1"/>
  <c r="K5" i="13"/>
  <c r="L5" i="13" s="1"/>
  <c r="M5" i="13" s="1"/>
  <c r="K4" i="13"/>
  <c r="L4" i="13" s="1"/>
  <c r="M4" i="13" s="1"/>
  <c r="K3" i="13"/>
  <c r="L3" i="13" s="1"/>
  <c r="X27" i="12"/>
  <c r="J27" i="12"/>
  <c r="I27" i="12"/>
  <c r="H27" i="12"/>
  <c r="G27" i="12"/>
  <c r="F27" i="12"/>
  <c r="E27" i="12"/>
  <c r="D27" i="12"/>
  <c r="C27" i="12"/>
  <c r="B27" i="12"/>
  <c r="X26" i="12"/>
  <c r="S26" i="12"/>
  <c r="R26" i="12"/>
  <c r="L26" i="12"/>
  <c r="M26" i="12" s="1"/>
  <c r="S25" i="12"/>
  <c r="R25" i="12"/>
  <c r="L25" i="12"/>
  <c r="M25" i="12" s="1"/>
  <c r="S24" i="12"/>
  <c r="R24" i="12"/>
  <c r="L24" i="12"/>
  <c r="M24" i="12" s="1"/>
  <c r="S23" i="12"/>
  <c r="R23" i="12"/>
  <c r="L23" i="12"/>
  <c r="M23" i="12" s="1"/>
  <c r="S22" i="12"/>
  <c r="R22" i="12"/>
  <c r="L22" i="12"/>
  <c r="M22" i="12" s="1"/>
  <c r="S21" i="12"/>
  <c r="R21" i="12"/>
  <c r="L21" i="12"/>
  <c r="M21" i="12" s="1"/>
  <c r="S20" i="12"/>
  <c r="R20" i="12"/>
  <c r="L20" i="12"/>
  <c r="M20" i="12" s="1"/>
  <c r="S19" i="12"/>
  <c r="R19" i="12"/>
  <c r="L19" i="12"/>
  <c r="M19" i="12" s="1"/>
  <c r="S18" i="12"/>
  <c r="R18" i="12"/>
  <c r="L18" i="12"/>
  <c r="M18" i="12" s="1"/>
  <c r="S17" i="12"/>
  <c r="R17" i="12"/>
  <c r="J13" i="12"/>
  <c r="I13" i="12"/>
  <c r="H13" i="12"/>
  <c r="G13" i="12"/>
  <c r="F13" i="12"/>
  <c r="E13" i="12"/>
  <c r="D13" i="12"/>
  <c r="C13" i="12"/>
  <c r="B13" i="12"/>
  <c r="K12" i="12"/>
  <c r="L12" i="12" s="1"/>
  <c r="M12" i="12" s="1"/>
  <c r="K11" i="12"/>
  <c r="L11" i="12" s="1"/>
  <c r="M11" i="12" s="1"/>
  <c r="K10" i="12"/>
  <c r="L10" i="12" s="1"/>
  <c r="M10" i="12" s="1"/>
  <c r="K9" i="12"/>
  <c r="L9" i="12" s="1"/>
  <c r="M9" i="12" s="1"/>
  <c r="K8" i="12"/>
  <c r="L8" i="12" s="1"/>
  <c r="M8" i="12" s="1"/>
  <c r="K7" i="12"/>
  <c r="L7" i="12" s="1"/>
  <c r="M7" i="12" s="1"/>
  <c r="K6" i="12"/>
  <c r="L6" i="12" s="1"/>
  <c r="M6" i="12" s="1"/>
  <c r="K5" i="12"/>
  <c r="L5" i="12" s="1"/>
  <c r="M5" i="12" s="1"/>
  <c r="K4" i="12"/>
  <c r="L4" i="12" s="1"/>
  <c r="M4" i="12" s="1"/>
  <c r="K3" i="12"/>
  <c r="N47" i="20" l="1"/>
  <c r="N23" i="20"/>
  <c r="O23" i="20"/>
  <c r="U47" i="20" s="1"/>
  <c r="N13" i="19"/>
  <c r="N27" i="19"/>
  <c r="T27" i="19" s="1"/>
  <c r="N27" i="18"/>
  <c r="N13" i="18"/>
  <c r="O13" i="19"/>
  <c r="O27" i="19"/>
  <c r="O27" i="18"/>
  <c r="O13" i="18"/>
  <c r="Q23" i="12"/>
  <c r="O13" i="15"/>
  <c r="N27" i="15"/>
  <c r="O13" i="16"/>
  <c r="N27" i="16"/>
  <c r="N13" i="15"/>
  <c r="N13" i="16"/>
  <c r="O27" i="16"/>
  <c r="U27" i="16" s="1"/>
  <c r="O27" i="15"/>
  <c r="N27" i="11"/>
  <c r="O27" i="10"/>
  <c r="Q22" i="13"/>
  <c r="N27" i="9"/>
  <c r="O27" i="8"/>
  <c r="O13" i="11"/>
  <c r="N27" i="10"/>
  <c r="N13" i="13"/>
  <c r="N13" i="12"/>
  <c r="O27" i="12"/>
  <c r="N13" i="11"/>
  <c r="O13" i="9"/>
  <c r="N27" i="8"/>
  <c r="O27" i="11"/>
  <c r="O13" i="10"/>
  <c r="Q21" i="12"/>
  <c r="N27" i="13"/>
  <c r="N13" i="9"/>
  <c r="O27" i="13"/>
  <c r="N27" i="12"/>
  <c r="O27" i="9"/>
  <c r="N13" i="10"/>
  <c r="O13" i="8"/>
  <c r="O13" i="13"/>
  <c r="N13" i="8"/>
  <c r="O13" i="12"/>
  <c r="Q25" i="12"/>
  <c r="Q26" i="12"/>
  <c r="Q21" i="13"/>
  <c r="Q19" i="13"/>
  <c r="M74" i="3"/>
  <c r="M91" i="3"/>
  <c r="Q20" i="12"/>
  <c r="Q22" i="12"/>
  <c r="Q24" i="13"/>
  <c r="S97" i="3"/>
  <c r="K97" i="3"/>
  <c r="R97" i="3"/>
  <c r="S83" i="3"/>
  <c r="K83" i="3"/>
  <c r="R83" i="3"/>
  <c r="L87" i="3"/>
  <c r="L73" i="3"/>
  <c r="Q18" i="12"/>
  <c r="S27" i="12"/>
  <c r="K27" i="12"/>
  <c r="K13" i="12"/>
  <c r="R27" i="12"/>
  <c r="R27" i="13"/>
  <c r="K27" i="13"/>
  <c r="Q25" i="13"/>
  <c r="Q23" i="13"/>
  <c r="S27" i="13"/>
  <c r="Q18" i="13"/>
  <c r="Q20" i="13"/>
  <c r="M3" i="13"/>
  <c r="L13" i="13"/>
  <c r="Q26" i="13"/>
  <c r="K13" i="13"/>
  <c r="L17" i="13"/>
  <c r="Q19" i="12"/>
  <c r="Q24" i="12"/>
  <c r="L3" i="12"/>
  <c r="L17" i="12"/>
  <c r="K17" i="11"/>
  <c r="K18" i="11"/>
  <c r="K19" i="11"/>
  <c r="K20" i="11"/>
  <c r="K21" i="11"/>
  <c r="K22" i="11"/>
  <c r="K23" i="11"/>
  <c r="K24" i="11"/>
  <c r="K25" i="11"/>
  <c r="K26" i="11"/>
  <c r="T47" i="20" l="1"/>
  <c r="U27" i="19"/>
  <c r="U27" i="18"/>
  <c r="T27" i="18"/>
  <c r="U27" i="15"/>
  <c r="T27" i="15"/>
  <c r="T27" i="16"/>
  <c r="L97" i="3"/>
  <c r="M87" i="3"/>
  <c r="L83" i="3"/>
  <c r="M73" i="3"/>
  <c r="L27" i="13"/>
  <c r="M17" i="13"/>
  <c r="M27" i="13" s="1"/>
  <c r="M13" i="13"/>
  <c r="L27" i="12"/>
  <c r="M17" i="12"/>
  <c r="M27" i="12" s="1"/>
  <c r="L13" i="12"/>
  <c r="M3" i="12"/>
  <c r="X27" i="11"/>
  <c r="J27" i="11"/>
  <c r="I27" i="11"/>
  <c r="H27" i="11"/>
  <c r="G27" i="11"/>
  <c r="F27" i="11"/>
  <c r="E27" i="11"/>
  <c r="D27" i="11"/>
  <c r="C27" i="11"/>
  <c r="B27" i="11"/>
  <c r="X26" i="11"/>
  <c r="S26" i="11"/>
  <c r="R26" i="11"/>
  <c r="L26" i="11"/>
  <c r="M26" i="11" s="1"/>
  <c r="S25" i="11"/>
  <c r="R25" i="11"/>
  <c r="L25" i="11"/>
  <c r="M25" i="11" s="1"/>
  <c r="S24" i="11"/>
  <c r="R24" i="11"/>
  <c r="L24" i="11"/>
  <c r="M24" i="11" s="1"/>
  <c r="S23" i="11"/>
  <c r="R23" i="11"/>
  <c r="L23" i="11"/>
  <c r="M23" i="11" s="1"/>
  <c r="S22" i="11"/>
  <c r="R22" i="11"/>
  <c r="L22" i="11"/>
  <c r="M22" i="11" s="1"/>
  <c r="S21" i="11"/>
  <c r="R21" i="11"/>
  <c r="L21" i="11"/>
  <c r="M21" i="11" s="1"/>
  <c r="S20" i="11"/>
  <c r="R20" i="11"/>
  <c r="L20" i="11"/>
  <c r="M20" i="11" s="1"/>
  <c r="S19" i="11"/>
  <c r="R19" i="11"/>
  <c r="L19" i="11"/>
  <c r="M19" i="11" s="1"/>
  <c r="S18" i="11"/>
  <c r="R18" i="11"/>
  <c r="L18" i="11"/>
  <c r="M18" i="11" s="1"/>
  <c r="S17" i="11"/>
  <c r="R17" i="11"/>
  <c r="L17" i="11"/>
  <c r="M17" i="11" s="1"/>
  <c r="K27" i="11"/>
  <c r="J13" i="11"/>
  <c r="I13" i="11"/>
  <c r="H13" i="11"/>
  <c r="G13" i="11"/>
  <c r="F13" i="11"/>
  <c r="E13" i="11"/>
  <c r="D13" i="11"/>
  <c r="C13" i="11"/>
  <c r="B13" i="11"/>
  <c r="K12" i="11"/>
  <c r="L12" i="11" s="1"/>
  <c r="M12" i="11" s="1"/>
  <c r="K11" i="11"/>
  <c r="L11" i="11" s="1"/>
  <c r="M11" i="11" s="1"/>
  <c r="K10" i="11"/>
  <c r="L10" i="11" s="1"/>
  <c r="M10" i="11" s="1"/>
  <c r="K9" i="11"/>
  <c r="L9" i="11" s="1"/>
  <c r="M9" i="11" s="1"/>
  <c r="K8" i="11"/>
  <c r="L8" i="11" s="1"/>
  <c r="M8" i="11" s="1"/>
  <c r="K7" i="11"/>
  <c r="L7" i="11" s="1"/>
  <c r="M7" i="11" s="1"/>
  <c r="K6" i="11"/>
  <c r="L6" i="11" s="1"/>
  <c r="M6" i="11" s="1"/>
  <c r="K5" i="11"/>
  <c r="L5" i="11" s="1"/>
  <c r="M5" i="11" s="1"/>
  <c r="K4" i="11"/>
  <c r="L4" i="11" s="1"/>
  <c r="M4" i="11" s="1"/>
  <c r="K3" i="11"/>
  <c r="L3" i="11" s="1"/>
  <c r="X27" i="10"/>
  <c r="J27" i="10"/>
  <c r="I27" i="10"/>
  <c r="H27" i="10"/>
  <c r="G27" i="10"/>
  <c r="F27" i="10"/>
  <c r="E27" i="10"/>
  <c r="D27" i="10"/>
  <c r="C27" i="10"/>
  <c r="B27" i="10"/>
  <c r="X26" i="10"/>
  <c r="S26" i="10"/>
  <c r="R26" i="10"/>
  <c r="K26" i="10"/>
  <c r="L26" i="10" s="1"/>
  <c r="M26" i="10" s="1"/>
  <c r="S25" i="10"/>
  <c r="R25" i="10"/>
  <c r="K25" i="10"/>
  <c r="L25" i="10" s="1"/>
  <c r="M25" i="10" s="1"/>
  <c r="S24" i="10"/>
  <c r="R24" i="10"/>
  <c r="K24" i="10"/>
  <c r="L24" i="10" s="1"/>
  <c r="M24" i="10" s="1"/>
  <c r="S23" i="10"/>
  <c r="R23" i="10"/>
  <c r="K23" i="10"/>
  <c r="L23" i="10" s="1"/>
  <c r="M23" i="10" s="1"/>
  <c r="S22" i="10"/>
  <c r="R22" i="10"/>
  <c r="K22" i="10"/>
  <c r="L22" i="10" s="1"/>
  <c r="M22" i="10" s="1"/>
  <c r="S21" i="10"/>
  <c r="R21" i="10"/>
  <c r="K21" i="10"/>
  <c r="L21" i="10" s="1"/>
  <c r="M21" i="10" s="1"/>
  <c r="S20" i="10"/>
  <c r="R20" i="10"/>
  <c r="K20" i="10"/>
  <c r="L20" i="10" s="1"/>
  <c r="M20" i="10" s="1"/>
  <c r="S19" i="10"/>
  <c r="R19" i="10"/>
  <c r="K19" i="10"/>
  <c r="L19" i="10" s="1"/>
  <c r="M19" i="10" s="1"/>
  <c r="S18" i="10"/>
  <c r="R18" i="10"/>
  <c r="K18" i="10"/>
  <c r="L18" i="10" s="1"/>
  <c r="M18" i="10" s="1"/>
  <c r="S17" i="10"/>
  <c r="R17" i="10"/>
  <c r="K17" i="10"/>
  <c r="L17" i="10" s="1"/>
  <c r="J13" i="10"/>
  <c r="I13" i="10"/>
  <c r="H13" i="10"/>
  <c r="G13" i="10"/>
  <c r="F13" i="10"/>
  <c r="E13" i="10"/>
  <c r="D13" i="10"/>
  <c r="C13" i="10"/>
  <c r="B13" i="10"/>
  <c r="K12" i="10"/>
  <c r="L12" i="10" s="1"/>
  <c r="M12" i="10" s="1"/>
  <c r="K11" i="10"/>
  <c r="L11" i="10" s="1"/>
  <c r="M11" i="10" s="1"/>
  <c r="K10" i="10"/>
  <c r="L10" i="10" s="1"/>
  <c r="M10" i="10" s="1"/>
  <c r="K9" i="10"/>
  <c r="L9" i="10" s="1"/>
  <c r="M9" i="10" s="1"/>
  <c r="K8" i="10"/>
  <c r="L8" i="10" s="1"/>
  <c r="M8" i="10" s="1"/>
  <c r="K7" i="10"/>
  <c r="L7" i="10" s="1"/>
  <c r="M7" i="10" s="1"/>
  <c r="K6" i="10"/>
  <c r="L6" i="10" s="1"/>
  <c r="M6" i="10" s="1"/>
  <c r="K5" i="10"/>
  <c r="L5" i="10" s="1"/>
  <c r="M5" i="10" s="1"/>
  <c r="K4" i="10"/>
  <c r="K3" i="10"/>
  <c r="L3" i="10" s="1"/>
  <c r="Q19" i="11" l="1"/>
  <c r="Q26" i="10"/>
  <c r="Q17" i="13"/>
  <c r="Q27" i="13" s="1"/>
  <c r="Q19" i="10"/>
  <c r="Q22" i="10"/>
  <c r="M97" i="3"/>
  <c r="M83" i="3"/>
  <c r="Q17" i="12"/>
  <c r="Q27" i="12" s="1"/>
  <c r="U27" i="12" s="1"/>
  <c r="M13" i="12"/>
  <c r="L27" i="10"/>
  <c r="R27" i="10"/>
  <c r="Q24" i="10"/>
  <c r="S27" i="10"/>
  <c r="K27" i="10"/>
  <c r="Q25" i="10"/>
  <c r="K13" i="10"/>
  <c r="Q23" i="11"/>
  <c r="Q25" i="11"/>
  <c r="Q21" i="11"/>
  <c r="Q20" i="11"/>
  <c r="Q24" i="11"/>
  <c r="R27" i="11"/>
  <c r="S27" i="11"/>
  <c r="L27" i="11"/>
  <c r="M27" i="11"/>
  <c r="Q18" i="11"/>
  <c r="Q26" i="11"/>
  <c r="M3" i="11"/>
  <c r="L13" i="11"/>
  <c r="Q22" i="11"/>
  <c r="K13" i="11"/>
  <c r="Q23" i="10"/>
  <c r="Q21" i="10"/>
  <c r="Q20" i="10"/>
  <c r="M17" i="10"/>
  <c r="M27" i="10" s="1"/>
  <c r="L4" i="10"/>
  <c r="M4" i="10" s="1"/>
  <c r="Q18" i="10" s="1"/>
  <c r="M3" i="10"/>
  <c r="X27" i="9"/>
  <c r="J27" i="9"/>
  <c r="I27" i="9"/>
  <c r="H27" i="9"/>
  <c r="G27" i="9"/>
  <c r="F27" i="9"/>
  <c r="E27" i="9"/>
  <c r="D27" i="9"/>
  <c r="C27" i="9"/>
  <c r="B27" i="9"/>
  <c r="X26" i="9"/>
  <c r="S26" i="9"/>
  <c r="R26" i="9"/>
  <c r="K26" i="9"/>
  <c r="L26" i="9" s="1"/>
  <c r="M26" i="9" s="1"/>
  <c r="S25" i="9"/>
  <c r="R25" i="9"/>
  <c r="K25" i="9"/>
  <c r="L25" i="9" s="1"/>
  <c r="M25" i="9" s="1"/>
  <c r="S24" i="9"/>
  <c r="R24" i="9"/>
  <c r="K24" i="9"/>
  <c r="L24" i="9" s="1"/>
  <c r="M24" i="9" s="1"/>
  <c r="S23" i="9"/>
  <c r="R23" i="9"/>
  <c r="K23" i="9"/>
  <c r="L23" i="9" s="1"/>
  <c r="M23" i="9" s="1"/>
  <c r="S22" i="9"/>
  <c r="R22" i="9"/>
  <c r="K22" i="9"/>
  <c r="L22" i="9" s="1"/>
  <c r="M22" i="9" s="1"/>
  <c r="S21" i="9"/>
  <c r="R21" i="9"/>
  <c r="K21" i="9"/>
  <c r="L21" i="9" s="1"/>
  <c r="M21" i="9" s="1"/>
  <c r="S20" i="9"/>
  <c r="R20" i="9"/>
  <c r="K20" i="9"/>
  <c r="L20" i="9" s="1"/>
  <c r="M20" i="9" s="1"/>
  <c r="S19" i="9"/>
  <c r="R19" i="9"/>
  <c r="K19" i="9"/>
  <c r="L19" i="9" s="1"/>
  <c r="M19" i="9" s="1"/>
  <c r="S18" i="9"/>
  <c r="R18" i="9"/>
  <c r="K18" i="9"/>
  <c r="L18" i="9" s="1"/>
  <c r="M18" i="9" s="1"/>
  <c r="S17" i="9"/>
  <c r="R17" i="9"/>
  <c r="K17" i="9"/>
  <c r="J13" i="9"/>
  <c r="I13" i="9"/>
  <c r="H13" i="9"/>
  <c r="G13" i="9"/>
  <c r="F13" i="9"/>
  <c r="E13" i="9"/>
  <c r="D13" i="9"/>
  <c r="C13" i="9"/>
  <c r="B13" i="9"/>
  <c r="K12" i="9"/>
  <c r="L12" i="9" s="1"/>
  <c r="M12" i="9" s="1"/>
  <c r="Q26" i="9" s="1"/>
  <c r="K11" i="9"/>
  <c r="L11" i="9" s="1"/>
  <c r="M11" i="9" s="1"/>
  <c r="K10" i="9"/>
  <c r="L10" i="9" s="1"/>
  <c r="M10" i="9" s="1"/>
  <c r="K9" i="9"/>
  <c r="L9" i="9" s="1"/>
  <c r="M9" i="9" s="1"/>
  <c r="K8" i="9"/>
  <c r="L8" i="9" s="1"/>
  <c r="M8" i="9" s="1"/>
  <c r="K7" i="9"/>
  <c r="L7" i="9" s="1"/>
  <c r="M7" i="9" s="1"/>
  <c r="K6" i="9"/>
  <c r="L6" i="9" s="1"/>
  <c r="M6" i="9" s="1"/>
  <c r="K5" i="9"/>
  <c r="L5" i="9" s="1"/>
  <c r="M5" i="9" s="1"/>
  <c r="K4" i="9"/>
  <c r="L4" i="9" s="1"/>
  <c r="M4" i="9" s="1"/>
  <c r="K3" i="9"/>
  <c r="L3" i="9" s="1"/>
  <c r="Q17" i="11" l="1"/>
  <c r="Q27" i="11" s="1"/>
  <c r="M13" i="11"/>
  <c r="M13" i="10"/>
  <c r="Q17" i="10"/>
  <c r="Q27" i="10" s="1"/>
  <c r="L13" i="10"/>
  <c r="Q18" i="9"/>
  <c r="Q21" i="9"/>
  <c r="K27" i="9"/>
  <c r="R27" i="9"/>
  <c r="S27" i="9"/>
  <c r="K13" i="9"/>
  <c r="Q19" i="9"/>
  <c r="Q22" i="9"/>
  <c r="Q25" i="9"/>
  <c r="Q20" i="9"/>
  <c r="Q24" i="9"/>
  <c r="L13" i="9"/>
  <c r="M3" i="9"/>
  <c r="Q23" i="9"/>
  <c r="L17" i="9"/>
  <c r="X27" i="8"/>
  <c r="J27" i="8"/>
  <c r="I27" i="8"/>
  <c r="H27" i="8"/>
  <c r="G27" i="8"/>
  <c r="F27" i="8"/>
  <c r="E27" i="8"/>
  <c r="D27" i="8"/>
  <c r="C27" i="8"/>
  <c r="B27" i="8"/>
  <c r="X26" i="8"/>
  <c r="S26" i="8"/>
  <c r="R26" i="8"/>
  <c r="K26" i="8"/>
  <c r="L26" i="8" s="1"/>
  <c r="M26" i="8" s="1"/>
  <c r="S25" i="8"/>
  <c r="R25" i="8"/>
  <c r="K25" i="8"/>
  <c r="L25" i="8" s="1"/>
  <c r="M25" i="8" s="1"/>
  <c r="S24" i="8"/>
  <c r="R24" i="8"/>
  <c r="K24" i="8"/>
  <c r="L24" i="8" s="1"/>
  <c r="M24" i="8" s="1"/>
  <c r="S23" i="8"/>
  <c r="R23" i="8"/>
  <c r="K23" i="8"/>
  <c r="L23" i="8" s="1"/>
  <c r="M23" i="8" s="1"/>
  <c r="S22" i="8"/>
  <c r="R22" i="8"/>
  <c r="K22" i="8"/>
  <c r="L22" i="8" s="1"/>
  <c r="M22" i="8" s="1"/>
  <c r="S21" i="8"/>
  <c r="R21" i="8"/>
  <c r="K21" i="8"/>
  <c r="L21" i="8" s="1"/>
  <c r="M21" i="8" s="1"/>
  <c r="S20" i="8"/>
  <c r="R20" i="8"/>
  <c r="K20" i="8"/>
  <c r="L20" i="8" s="1"/>
  <c r="M20" i="8" s="1"/>
  <c r="S19" i="8"/>
  <c r="R19" i="8"/>
  <c r="K19" i="8"/>
  <c r="L19" i="8" s="1"/>
  <c r="M19" i="8" s="1"/>
  <c r="S18" i="8"/>
  <c r="R18" i="8"/>
  <c r="K18" i="8"/>
  <c r="L18" i="8" s="1"/>
  <c r="M18" i="8" s="1"/>
  <c r="S17" i="8"/>
  <c r="R17" i="8"/>
  <c r="K17" i="8"/>
  <c r="J13" i="8"/>
  <c r="I13" i="8"/>
  <c r="H13" i="8"/>
  <c r="G13" i="8"/>
  <c r="F13" i="8"/>
  <c r="E13" i="8"/>
  <c r="D13" i="8"/>
  <c r="C13" i="8"/>
  <c r="B13" i="8"/>
  <c r="K12" i="8"/>
  <c r="L12" i="8" s="1"/>
  <c r="M12" i="8" s="1"/>
  <c r="K11" i="8"/>
  <c r="L11" i="8" s="1"/>
  <c r="M11" i="8" s="1"/>
  <c r="K10" i="8"/>
  <c r="L10" i="8" s="1"/>
  <c r="M10" i="8" s="1"/>
  <c r="K9" i="8"/>
  <c r="L9" i="8" s="1"/>
  <c r="M9" i="8" s="1"/>
  <c r="K8" i="8"/>
  <c r="L8" i="8" s="1"/>
  <c r="M8" i="8" s="1"/>
  <c r="K7" i="8"/>
  <c r="L7" i="8" s="1"/>
  <c r="M7" i="8" s="1"/>
  <c r="K6" i="8"/>
  <c r="L6" i="8" s="1"/>
  <c r="M6" i="8" s="1"/>
  <c r="K5" i="8"/>
  <c r="K4" i="8"/>
  <c r="L4" i="8" s="1"/>
  <c r="M4" i="8" s="1"/>
  <c r="K3" i="8"/>
  <c r="L3" i="8" s="1"/>
  <c r="M3" i="8" s="1"/>
  <c r="L27" i="9" l="1"/>
  <c r="M17" i="9"/>
  <c r="M27" i="9" s="1"/>
  <c r="M13" i="9"/>
  <c r="S27" i="8"/>
  <c r="K13" i="8"/>
  <c r="K27" i="8"/>
  <c r="R27" i="8"/>
  <c r="L17" i="8"/>
  <c r="L27" i="8" s="1"/>
  <c r="Q25" i="8"/>
  <c r="Q23" i="8"/>
  <c r="Q21" i="8"/>
  <c r="Q26" i="8"/>
  <c r="Q22" i="8"/>
  <c r="Q18" i="8"/>
  <c r="Q24" i="8"/>
  <c r="L5" i="8"/>
  <c r="M5" i="8" s="1"/>
  <c r="Q20" i="8"/>
  <c r="Q17" i="9" l="1"/>
  <c r="Q27" i="9" s="1"/>
  <c r="M17" i="8"/>
  <c r="M27" i="8" s="1"/>
  <c r="L13" i="8"/>
  <c r="Q19" i="8"/>
  <c r="M13" i="8"/>
  <c r="D12" i="7"/>
  <c r="D24" i="7" s="1"/>
  <c r="D25" i="7" s="1"/>
  <c r="C12" i="7"/>
  <c r="C24" i="7" s="1"/>
  <c r="C25" i="7" s="1"/>
  <c r="D11" i="7"/>
  <c r="C11" i="7"/>
  <c r="Q17" i="8" l="1"/>
  <c r="Q27" i="8" s="1"/>
  <c r="X69" i="3"/>
  <c r="X68" i="3"/>
  <c r="X41" i="3"/>
  <c r="X40" i="3"/>
  <c r="X27" i="3"/>
  <c r="X26" i="3"/>
  <c r="J69" i="3"/>
  <c r="I69" i="3"/>
  <c r="H69" i="3"/>
  <c r="G69" i="3"/>
  <c r="F69" i="3"/>
  <c r="E69" i="3"/>
  <c r="D69" i="3"/>
  <c r="C69" i="3"/>
  <c r="B69" i="3"/>
  <c r="S68" i="3"/>
  <c r="R68" i="3"/>
  <c r="K68" i="3"/>
  <c r="L68" i="3" s="1"/>
  <c r="M68" i="3" s="1"/>
  <c r="S67" i="3"/>
  <c r="R67" i="3"/>
  <c r="K67" i="3"/>
  <c r="L67" i="3" s="1"/>
  <c r="M67" i="3" s="1"/>
  <c r="S66" i="3"/>
  <c r="R66" i="3"/>
  <c r="K66" i="3"/>
  <c r="L66" i="3" s="1"/>
  <c r="M66" i="3" s="1"/>
  <c r="S65" i="3"/>
  <c r="R65" i="3"/>
  <c r="K65" i="3"/>
  <c r="L65" i="3" s="1"/>
  <c r="M65" i="3" s="1"/>
  <c r="S64" i="3"/>
  <c r="R64" i="3"/>
  <c r="K64" i="3"/>
  <c r="L64" i="3" s="1"/>
  <c r="M64" i="3" s="1"/>
  <c r="S63" i="3"/>
  <c r="R63" i="3"/>
  <c r="K63" i="3"/>
  <c r="L63" i="3" s="1"/>
  <c r="M63" i="3" s="1"/>
  <c r="S62" i="3"/>
  <c r="R62" i="3"/>
  <c r="K62" i="3"/>
  <c r="L62" i="3" s="1"/>
  <c r="M62" i="3" s="1"/>
  <c r="S61" i="3"/>
  <c r="R61" i="3"/>
  <c r="K61" i="3"/>
  <c r="L61" i="3" s="1"/>
  <c r="M61" i="3" s="1"/>
  <c r="S60" i="3"/>
  <c r="R60" i="3"/>
  <c r="K60" i="3"/>
  <c r="L60" i="3" s="1"/>
  <c r="M60" i="3" s="1"/>
  <c r="S59" i="3"/>
  <c r="R59" i="3"/>
  <c r="K59" i="3"/>
  <c r="L59" i="3" s="1"/>
  <c r="J41" i="3"/>
  <c r="I41" i="3"/>
  <c r="H41" i="3"/>
  <c r="G41" i="3"/>
  <c r="F41" i="3"/>
  <c r="E41" i="3"/>
  <c r="D41" i="3"/>
  <c r="C41" i="3"/>
  <c r="B41" i="3"/>
  <c r="S40" i="3"/>
  <c r="R40" i="3"/>
  <c r="K40" i="3"/>
  <c r="L40" i="3" s="1"/>
  <c r="M40" i="3" s="1"/>
  <c r="S39" i="3"/>
  <c r="R39" i="3"/>
  <c r="K39" i="3"/>
  <c r="L39" i="3" s="1"/>
  <c r="M39" i="3" s="1"/>
  <c r="S38" i="3"/>
  <c r="R38" i="3"/>
  <c r="K38" i="3"/>
  <c r="L38" i="3" s="1"/>
  <c r="M38" i="3" s="1"/>
  <c r="S37" i="3"/>
  <c r="R37" i="3"/>
  <c r="K37" i="3"/>
  <c r="L37" i="3" s="1"/>
  <c r="M37" i="3" s="1"/>
  <c r="S36" i="3"/>
  <c r="R36" i="3"/>
  <c r="K36" i="3"/>
  <c r="L36" i="3" s="1"/>
  <c r="M36" i="3" s="1"/>
  <c r="S35" i="3"/>
  <c r="R35" i="3"/>
  <c r="K35" i="3"/>
  <c r="L35" i="3" s="1"/>
  <c r="M35" i="3" s="1"/>
  <c r="S34" i="3"/>
  <c r="R34" i="3"/>
  <c r="K34" i="3"/>
  <c r="L34" i="3" s="1"/>
  <c r="M34" i="3" s="1"/>
  <c r="S33" i="3"/>
  <c r="R33" i="3"/>
  <c r="K33" i="3"/>
  <c r="L33" i="3" s="1"/>
  <c r="M33" i="3" s="1"/>
  <c r="S32" i="3"/>
  <c r="R32" i="3"/>
  <c r="K32" i="3"/>
  <c r="L32" i="3" s="1"/>
  <c r="M32" i="3" s="1"/>
  <c r="S31" i="3"/>
  <c r="R31" i="3"/>
  <c r="K31" i="3"/>
  <c r="L31" i="3" s="1"/>
  <c r="K26" i="3"/>
  <c r="K25" i="3"/>
  <c r="K24" i="3"/>
  <c r="K23" i="3"/>
  <c r="K22" i="3"/>
  <c r="K21" i="3"/>
  <c r="K20" i="3"/>
  <c r="K19" i="3"/>
  <c r="K18" i="3"/>
  <c r="K17" i="3"/>
  <c r="S26" i="3"/>
  <c r="R26" i="3"/>
  <c r="S25" i="3"/>
  <c r="R25" i="3"/>
  <c r="S24" i="3"/>
  <c r="R24" i="3"/>
  <c r="S23" i="3"/>
  <c r="S22" i="3"/>
  <c r="R22" i="3"/>
  <c r="S21" i="3"/>
  <c r="R21" i="3"/>
  <c r="S20" i="3"/>
  <c r="R20" i="3"/>
  <c r="S19" i="3"/>
  <c r="R19" i="3"/>
  <c r="S18" i="3"/>
  <c r="R18" i="3"/>
  <c r="S17" i="3"/>
  <c r="R17" i="3"/>
  <c r="S27" i="3" l="1"/>
  <c r="R69" i="3"/>
  <c r="S69" i="3"/>
  <c r="R41" i="3"/>
  <c r="S41" i="3"/>
  <c r="M59" i="3"/>
  <c r="L69" i="3"/>
  <c r="K69" i="3"/>
  <c r="M31" i="3"/>
  <c r="L41" i="3"/>
  <c r="K41" i="3"/>
  <c r="M69" i="3" l="1"/>
  <c r="M41" i="3"/>
  <c r="C27" i="3" l="1"/>
  <c r="C13" i="3"/>
  <c r="L20" i="3" l="1"/>
  <c r="L26" i="3" l="1"/>
  <c r="L17" i="3"/>
  <c r="M17" i="3" s="1"/>
  <c r="L11" i="3"/>
  <c r="L10" i="3"/>
  <c r="L9" i="3"/>
  <c r="L8" i="3"/>
  <c r="L7" i="3"/>
  <c r="L6" i="3"/>
  <c r="L5" i="3"/>
  <c r="L4" i="3"/>
  <c r="L3" i="3"/>
  <c r="J27" i="3"/>
  <c r="I27" i="3"/>
  <c r="H27" i="3"/>
  <c r="G27" i="3"/>
  <c r="F27" i="3"/>
  <c r="E27" i="3"/>
  <c r="D27" i="3"/>
  <c r="B27" i="3"/>
  <c r="R27" i="3" l="1"/>
  <c r="J13" i="3"/>
  <c r="I13" i="3"/>
  <c r="H13" i="3"/>
  <c r="G13" i="3"/>
  <c r="F13" i="3"/>
  <c r="K12" i="3"/>
  <c r="L12" i="3" s="1"/>
  <c r="M6" i="3" l="1"/>
  <c r="Q48" i="3" s="1"/>
  <c r="M8" i="3"/>
  <c r="Q50" i="3" s="1"/>
  <c r="M7" i="3"/>
  <c r="Q49" i="3" s="1"/>
  <c r="L13" i="3"/>
  <c r="M5" i="3"/>
  <c r="Q47" i="3" s="1"/>
  <c r="M10" i="3"/>
  <c r="Q52" i="3" s="1"/>
  <c r="M4" i="3"/>
  <c r="Q46" i="3" s="1"/>
  <c r="M11" i="3"/>
  <c r="Q53" i="3" s="1"/>
  <c r="M3" i="3"/>
  <c r="Q45" i="3" s="1"/>
  <c r="M12" i="3"/>
  <c r="Q54" i="3" s="1"/>
  <c r="K13" i="3"/>
  <c r="E13" i="3"/>
  <c r="D13" i="3"/>
  <c r="B13" i="3"/>
  <c r="D9" i="7" s="1"/>
  <c r="D8" i="7" l="1"/>
  <c r="C8" i="7"/>
  <c r="C9" i="7"/>
  <c r="O97" i="3"/>
  <c r="N97" i="3"/>
  <c r="T27" i="10"/>
  <c r="O83" i="3"/>
  <c r="N83" i="3"/>
  <c r="N55" i="3"/>
  <c r="N27" i="3"/>
  <c r="U27" i="13"/>
  <c r="N13" i="3"/>
  <c r="O55" i="3"/>
  <c r="Q92" i="3"/>
  <c r="Q78" i="3"/>
  <c r="Q89" i="3"/>
  <c r="Q75" i="3"/>
  <c r="Q91" i="3"/>
  <c r="Q77" i="3"/>
  <c r="Q96" i="3"/>
  <c r="Q82" i="3"/>
  <c r="Q87" i="3"/>
  <c r="Q73" i="3"/>
  <c r="Q81" i="3"/>
  <c r="Q95" i="3"/>
  <c r="Q76" i="3"/>
  <c r="Q90" i="3"/>
  <c r="Q74" i="3"/>
  <c r="Q88" i="3"/>
  <c r="Q80" i="3"/>
  <c r="Q94" i="3"/>
  <c r="N41" i="3"/>
  <c r="N69" i="3"/>
  <c r="O69" i="3"/>
  <c r="O41" i="3"/>
  <c r="Q66" i="3"/>
  <c r="Q38" i="3"/>
  <c r="Q35" i="3"/>
  <c r="Q63" i="3"/>
  <c r="Q61" i="3"/>
  <c r="Q33" i="3"/>
  <c r="Q40" i="3"/>
  <c r="Q68" i="3"/>
  <c r="Q62" i="3"/>
  <c r="Q34" i="3"/>
  <c r="Q32" i="3"/>
  <c r="Q60" i="3"/>
  <c r="Q64" i="3"/>
  <c r="Q36" i="3"/>
  <c r="Q59" i="3"/>
  <c r="Q31" i="3"/>
  <c r="Q17" i="3"/>
  <c r="Q39" i="3"/>
  <c r="Q67" i="3"/>
  <c r="O13" i="3"/>
  <c r="O27" i="3"/>
  <c r="L25" i="3"/>
  <c r="M25" i="3" s="1"/>
  <c r="Q25" i="3" s="1"/>
  <c r="L23" i="3"/>
  <c r="M23" i="3" s="1"/>
  <c r="M26" i="3"/>
  <c r="Q26" i="3" s="1"/>
  <c r="M20" i="3"/>
  <c r="Q20" i="3" s="1"/>
  <c r="M9" i="3"/>
  <c r="Q51" i="3" s="1"/>
  <c r="Q55" i="3" s="1"/>
  <c r="U27" i="10" l="1"/>
  <c r="U27" i="11"/>
  <c r="T27" i="9"/>
  <c r="T27" i="11"/>
  <c r="U27" i="9"/>
  <c r="T27" i="13"/>
  <c r="U27" i="8"/>
  <c r="T27" i="12"/>
  <c r="T27" i="8"/>
  <c r="T55" i="3"/>
  <c r="U55" i="3"/>
  <c r="Q79" i="3"/>
  <c r="Q83" i="3" s="1"/>
  <c r="Q93" i="3"/>
  <c r="Q97" i="3" s="1"/>
  <c r="U97" i="3" s="1"/>
  <c r="M13" i="3"/>
  <c r="Q65" i="3"/>
  <c r="Q69" i="3" s="1"/>
  <c r="D10" i="7" s="1"/>
  <c r="Q37" i="3"/>
  <c r="Q41" i="3" s="1"/>
  <c r="Q23" i="3"/>
  <c r="L21" i="3"/>
  <c r="M21" i="3" s="1"/>
  <c r="Q21" i="3" s="1"/>
  <c r="L22" i="3"/>
  <c r="M22" i="3" s="1"/>
  <c r="Q22" i="3" s="1"/>
  <c r="L18" i="3"/>
  <c r="K27" i="3"/>
  <c r="L24" i="3"/>
  <c r="M24" i="3" s="1"/>
  <c r="Q24" i="3" s="1"/>
  <c r="L19" i="3"/>
  <c r="U83" i="3" l="1"/>
  <c r="T83" i="3"/>
  <c r="T97" i="3"/>
  <c r="T41" i="3"/>
  <c r="U41" i="3"/>
  <c r="T69" i="3"/>
  <c r="U69" i="3"/>
  <c r="M19" i="3"/>
  <c r="Q19" i="3" s="1"/>
  <c r="M18" i="3"/>
  <c r="Q18" i="3" s="1"/>
  <c r="L27" i="3"/>
  <c r="M27" i="3" l="1"/>
  <c r="Q27" i="3"/>
  <c r="C10" i="7" l="1"/>
  <c r="T27" i="3"/>
  <c r="U27" i="3"/>
</calcChain>
</file>

<file path=xl/sharedStrings.xml><?xml version="1.0" encoding="utf-8"?>
<sst xmlns="http://schemas.openxmlformats.org/spreadsheetml/2006/main" count="789" uniqueCount="136">
  <si>
    <t>Total</t>
  </si>
  <si>
    <t>YLD</t>
  </si>
  <si>
    <t>YLL</t>
  </si>
  <si>
    <t>Deaths</t>
  </si>
  <si>
    <t>Infections</t>
  </si>
  <si>
    <t>Kenya GDP per capita:</t>
  </si>
  <si>
    <t>Discount rate:</t>
  </si>
  <si>
    <t xml:space="preserve">Antiretroviral drug cost (per person-year) </t>
  </si>
  <si>
    <t xml:space="preserve">Non-antiretroviral cost (per person-year) </t>
  </si>
  <si>
    <t>https://data.worldbank.org/indicator/NY.GDP.PCAP.CD?locations=KE</t>
  </si>
  <si>
    <t>Oral ART PYs</t>
  </si>
  <si>
    <t>CD4 200-350</t>
  </si>
  <si>
    <t>CD4 &lt;200</t>
  </si>
  <si>
    <t>CD4&gt;350</t>
  </si>
  <si>
    <t>LA-ART PYs</t>
  </si>
  <si>
    <t># Averted</t>
  </si>
  <si>
    <t>Year</t>
  </si>
  <si>
    <t>DALYs</t>
  </si>
  <si>
    <t>Discounted DALYs</t>
  </si>
  <si>
    <t>HIV Deaths</t>
  </si>
  <si>
    <t>LA-ART - 85% Switch,  94% Adherence</t>
  </si>
  <si>
    <t>Cost-effectiveness threshold:</t>
  </si>
  <si>
    <t>https://data.worldbank.org/indicator/NY.GDP.DEFL.ZS?locations=KE</t>
  </si>
  <si>
    <t>inflation ratio</t>
  </si>
  <si>
    <t>https://data.worldbank.org/indicator/PA.NUS.FCRF?locations=KE</t>
  </si>
  <si>
    <t>LA-ART incremental annual cost:</t>
  </si>
  <si>
    <t>LA-ART - 85% Switch,  85% Adherence</t>
  </si>
  <si>
    <t>Discounted Cost ($500 Threshold)</t>
  </si>
  <si>
    <t>ICER 
($500 Threshold)</t>
  </si>
  <si>
    <t>Threshold</t>
  </si>
  <si>
    <t>Deaths averted</t>
  </si>
  <si>
    <t>DALYs averted</t>
  </si>
  <si>
    <t>2017 Kenya GDP deflator</t>
  </si>
  <si>
    <t>2017 Kenya shilling to USD</t>
  </si>
  <si>
    <t>Maximum incremental annual cost ($500 threshold)</t>
  </si>
  <si>
    <t>Maximum incremental annual cost ($1,508 threshold)</t>
  </si>
  <si>
    <t>0-3</t>
  </si>
  <si>
    <t>3-10</t>
  </si>
  <si>
    <t>10-20</t>
  </si>
  <si>
    <t>20-30</t>
  </si>
  <si>
    <t>30-60</t>
  </si>
  <si>
    <t>Mwau M, Syeunda CA, Adhiambo M, et al. Scale-up of Kenya’s national HIV viral load program: Findings and lessons learned. Charpentier C, ed. PLoS One. 2018;13(1):e0190659. doi:10.1371/journal.pone.0190659.</t>
  </si>
  <si>
    <t>World Bank Development Indicators: Accessed on 12/10/2018 from: https://data.worldbank.org/country/kenya.</t>
  </si>
  <si>
    <t>Salomon JA, Haagsma JA, Davis A, et al. Disability weights for the Global Burden of Disease 2013 study. The Lancet Global health 2015; 3(11): e712-23.</t>
  </si>
  <si>
    <r>
      <t>81%</t>
    </r>
    <r>
      <rPr>
        <vertAlign val="superscript"/>
        <sz val="10"/>
        <color rgb="FF000000"/>
        <rFont val="Arial"/>
        <family val="2"/>
      </rPr>
      <t>1</t>
    </r>
  </si>
  <si>
    <r>
      <rPr>
        <vertAlign val="superscript"/>
        <sz val="10"/>
        <color rgb="FF000000"/>
        <rFont val="Arial"/>
        <family val="2"/>
      </rPr>
      <t>1</t>
    </r>
    <r>
      <rPr>
        <sz val="10"/>
        <color indexed="8"/>
        <rFont val="Arial"/>
        <family val="2"/>
      </rPr>
      <t xml:space="preserve">Assumes UNAIDS  target of 90% aware of status, 90% on ART is reached by 2029. </t>
    </r>
  </si>
  <si>
    <t>Proportion of HIV-positive receiving ART</t>
  </si>
  <si>
    <t>Proportion on ART who are virally suppressed by age</t>
  </si>
  <si>
    <t>Costs of ART provision (per person-year)</t>
  </si>
  <si>
    <t>Antiretroviral drug cost</t>
  </si>
  <si>
    <t>Non-antiretroviral cost</t>
  </si>
  <si>
    <t xml:space="preserve">CD4 count &gt;350 cells per μL (untreated)* </t>
  </si>
  <si>
    <t xml:space="preserve">CD4 count &gt;200–350 cells per μL (untreated) </t>
  </si>
  <si>
    <t xml:space="preserve">CD4 count ≤200 cell per μL (untreated) </t>
  </si>
  <si>
    <t>On antiretroviral therapy</t>
  </si>
  <si>
    <r>
      <rPr>
        <vertAlign val="super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>HIV infection with a CD4 count of 350 cells per μL or greater was assumed to cause the same disability (0.078) as those receiving antiretroviral therapy.</t>
    </r>
  </si>
  <si>
    <t>Disability-Adjusted Life Years for HIV-positive</t>
  </si>
  <si>
    <t>Oral ART (No Intervention)</t>
  </si>
  <si>
    <t>Discounted Cost ($1,508 Threshold)</t>
  </si>
  <si>
    <t>LA-ART - 30% Non-adherent and 85% Adherent Switch,  94% LAART Adherence</t>
  </si>
  <si>
    <t>Goal-seek W26 so that cell T27 = $500.</t>
  </si>
  <si>
    <t>Goal-seek W27 so that cell U27 = $1508.</t>
  </si>
  <si>
    <t>Goal-seek W40 so that cell T41 = $500.</t>
  </si>
  <si>
    <t>Goal-seek W41 so that cell U41 = $1508.</t>
  </si>
  <si>
    <t>Goal-seek W54 so that cell T55 = $500.</t>
  </si>
  <si>
    <t>Goal-seek W55 so that cell U55 = $1508.</t>
  </si>
  <si>
    <t>LA-ART - 85% Switch,  94% Adherence, no increase in ART population coverage</t>
  </si>
  <si>
    <t>LA-ART - 85% Switch,  94% Adherence,  increase in ART population coverage to 90%</t>
  </si>
  <si>
    <t>ICER 
($1,508 Threshold)</t>
  </si>
  <si>
    <t>Base</t>
  </si>
  <si>
    <t>Induction</t>
  </si>
  <si>
    <t>LA-ART - 40% Switch,  94% Adherence</t>
  </si>
  <si>
    <t>Goal-seek W82 so that cell T83 = $500.</t>
  </si>
  <si>
    <t>Goal-seek W83 so that cell U83 = $1508.</t>
  </si>
  <si>
    <t>Goal-seek W68 so that cell T69 = $500.</t>
  </si>
  <si>
    <t>Goal-seek W69 so that cell U69 = $1508.</t>
  </si>
  <si>
    <t>Goal-seek W96 so that cell T97 = $500.</t>
  </si>
  <si>
    <t>Goal-seek W97 so that cell U97 = $1508.</t>
  </si>
  <si>
    <t>LA-ART - 100% Switch,  94% Adherence</t>
  </si>
  <si>
    <t>LA-ART - 85% Switch,  100% Adherence</t>
  </si>
  <si>
    <t>Goal-seek W110 so that cell T111 = $500.</t>
  </si>
  <si>
    <t>Goal-seek W111 so that cell U111 = $1508.</t>
  </si>
  <si>
    <t>Min</t>
  </si>
  <si>
    <t>Max</t>
  </si>
  <si>
    <t>LAART viral suppression (85% to 100%)</t>
  </si>
  <si>
    <t>U.S. Centers for Diseases Control and Kenya Ministry of Health, (2013), The Cost of Comprehensive HIV Treatment in Kenya. Report of a Cost Study of HIV Treatment Programs in Kenya. Atlanta, GA (USA) and Nairobi, Kenya.</t>
  </si>
  <si>
    <t>Kenya, 2011 (USD)</t>
  </si>
  <si>
    <t>Kenya, 2017 (shilling)</t>
  </si>
  <si>
    <t>Kenya, 2017 (USD)</t>
  </si>
  <si>
    <t>2011 Kenya shilling to USD</t>
  </si>
  <si>
    <t>Kenya, 2011 (shilling)</t>
  </si>
  <si>
    <t>Costs for patients on ART</t>
  </si>
  <si>
    <t>Costs for patients pre-ART</t>
  </si>
  <si>
    <t>Costs of health-care for pre-ART patients (per person-year)</t>
  </si>
  <si>
    <r>
      <t xml:space="preserve">Table 1: </t>
    </r>
    <r>
      <rPr>
        <sz val="10"/>
        <color rgb="FF000000"/>
        <rFont val="Arial"/>
        <family val="2"/>
      </rPr>
      <t>Key model parameters for base scenario</t>
    </r>
  </si>
  <si>
    <t>Oral ART (No Intervention), AYA oral ART dropout 80% of base rates</t>
  </si>
  <si>
    <t>LA-ART - 85% Switch,  94% Adherence, AYA oral ART dropout 80% of base rates</t>
  </si>
  <si>
    <t>LA-ART - 85% Switch,  94% Adherence, AYA oral ART dropout 120% of base rates</t>
  </si>
  <si>
    <t>Oral ART (No Intervention), AYA oral ART dropout 120% of base rates</t>
  </si>
  <si>
    <t>Oral ART (No Intervention), no increase in ART population coverage by 2029</t>
  </si>
  <si>
    <t>Oral ART (No Intervention), increase ART population coverage to 90% by 2029</t>
  </si>
  <si>
    <t>AYA switching to LA-ART (40% to 100%)</t>
  </si>
  <si>
    <t>https://clintonhealthaccess.org/content/uploads/2018/09/2018-HIV-Market-Report_FINAL.pdf</t>
  </si>
  <si>
    <r>
      <t xml:space="preserve">d </t>
    </r>
    <r>
      <rPr>
        <sz val="10"/>
        <color indexed="8"/>
        <rFont val="Arial"/>
        <family val="2"/>
      </rPr>
      <t>94% viral suppression based on LATTE-2 phase 2b trial</t>
    </r>
    <r>
      <rPr>
        <vertAlign val="superscript"/>
        <sz val="10"/>
        <color indexed="8"/>
        <rFont val="Arial"/>
        <family val="2"/>
      </rPr>
      <t>8</t>
    </r>
  </si>
  <si>
    <t>are discounted at 3% annually. LA-ART intervention is added to current ART expansion. Costs are in 2017 USD.</t>
  </si>
  <si>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>30% of AYA who are not virally suppressed under oral ART and 85% who are suppressed under oral ART</t>
    </r>
  </si>
  <si>
    <r>
      <t>Table 2: Health Impacts and Maximum Cost-Effective LA-ART Administration Cost</t>
    </r>
    <r>
      <rPr>
        <vertAlign val="superscript"/>
        <sz val="10"/>
        <color indexed="8"/>
        <rFont val="Arial"/>
        <family val="2"/>
      </rPr>
      <t>a</t>
    </r>
  </si>
  <si>
    <r>
      <t>Proportion of AYA ART users on LA-ART</t>
    </r>
    <r>
      <rPr>
        <vertAlign val="superscript"/>
        <sz val="10"/>
        <rFont val="Arial"/>
        <family val="2"/>
      </rPr>
      <t>b</t>
    </r>
  </si>
  <si>
    <r>
      <t>71%</t>
    </r>
    <r>
      <rPr>
        <vertAlign val="superscript"/>
        <sz val="10"/>
        <color indexed="8"/>
        <rFont val="Arial"/>
        <family val="2"/>
      </rPr>
      <t>c</t>
    </r>
  </si>
  <si>
    <r>
      <t>LA-ART viral suppression</t>
    </r>
    <r>
      <rPr>
        <vertAlign val="superscript"/>
        <sz val="10"/>
        <color indexed="8"/>
        <rFont val="Arial"/>
        <family val="2"/>
      </rPr>
      <t>d</t>
    </r>
  </si>
  <si>
    <t>Overall (oral and long-acting) AYA suppression</t>
  </si>
  <si>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Costs and health outcomes are captured over 10-year time horizon. Incremental costs and DALYS associated with each scenario </t>
    </r>
  </si>
  <si>
    <r>
      <t>b</t>
    </r>
    <r>
      <rPr>
        <sz val="10"/>
        <color indexed="8"/>
        <rFont val="Arial"/>
        <family val="2"/>
      </rPr>
      <t>85% of AYA on ART desiring to switch to LA-ART based on LA-ART interest survey in U.S.</t>
    </r>
    <r>
      <rPr>
        <vertAlign val="superscript"/>
        <sz val="10"/>
        <color indexed="8"/>
        <rFont val="Arial"/>
        <family val="2"/>
      </rPr>
      <t xml:space="preserve">10,25 </t>
    </r>
  </si>
  <si>
    <t>HIV infections averted (% of estimated new infections)</t>
  </si>
  <si>
    <t>LA-ART - 85% Switch,  94% Adherence, 200% of base partnerships</t>
  </si>
  <si>
    <t>Oral ART (No Intervention), population oral ART dropout 80% of base rates for 2019+</t>
  </si>
  <si>
    <t>LA-ART - 85% Switch,  94% Adherence, population oral ART dropout 80% of base rates for 2019+</t>
  </si>
  <si>
    <t>LA-ART - 85% Switch,  94% Adherence, population oral ART dropout 120% of base rates for 2019+</t>
  </si>
  <si>
    <t>Oral ART (No Intervention), population oral ART dropout 120% of base rates for 2019+</t>
  </si>
  <si>
    <t>Population oral ART nonadherence after 2019 (20% lower to 20% higher)</t>
  </si>
  <si>
    <t>Oral ART cost:</t>
  </si>
  <si>
    <t>Oral ART drug cost ($60 to $90)</t>
  </si>
  <si>
    <t>LA-ART - 85% Switch,  94% Adherence, 80% of base partnerships</t>
  </si>
  <si>
    <t>Oral ART (No Intervention, 80% of base partnerships)</t>
  </si>
  <si>
    <t>Number of AYA partners (20% lower to 20% higher)</t>
  </si>
  <si>
    <t>2029 ART coverage (75% to 90%)</t>
  </si>
  <si>
    <t>AYA oral ART nonadherence (20% lower to 20% higher)</t>
  </si>
  <si>
    <t>Total oral ART costs</t>
  </si>
  <si>
    <t>Total LA-ART costs</t>
  </si>
  <si>
    <t>Difference</t>
  </si>
  <si>
    <t>Oral ART (No Intervention), 20 year projection</t>
  </si>
  <si>
    <t>LA-ART - 85% Switch,  94% Adherence, 20 year projection</t>
  </si>
  <si>
    <t>Goal-seek W46 so that cell T47 = $500.</t>
  </si>
  <si>
    <t>Goal-seek W47 so that cell U47 = $1508.</t>
  </si>
  <si>
    <t>20-year time horizon</t>
  </si>
  <si>
    <t>2011 Kenya GDP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</si>
</sst>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  <numFmt numFmtId="165" formatCode="_(* #,##0_);_(* \(#,##0\);_(* &quot;-&quot;??_);_(@_)"/>
    <numFmt numFmtId="166" formatCode="&quot;$&quot;#,##0"/>
    <numFmt numFmtId="167" formatCode="0.0%"/>
    <numFmt numFmtId="168" formatCode="_(* #,##0.000_);_(* \(#,##0.000\);_(* &quot;-&quot;??_);_(@_)"/>
    <numFmt numFmtId="169" formatCode="&quot;$&quot;#,##0.0_);\(&quot;$&quot;#,##0.0\)"/>
  </numFmts>
  <fonts count="1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CC"/>
      <name val="Arial"/>
      <family val="2"/>
    </font>
    <font>
      <sz val="10"/>
      <color rgb="FFFF0000"/>
      <name val="Arial"/>
      <family val="2"/>
    </font>
    <font>
      <u val="singleAccounting"/>
      <sz val="10"/>
      <color indexed="8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vertAlign val="superscript"/>
      <sz val="10"/>
      <name val="Arial"/>
      <family val="2"/>
    </font>
    <font>
      <vertAlign val="superscript"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rgb="FF0000CC"/>
      <name val="Calibri"/>
      <family val="2"/>
      <scheme val="minor"/>
    </font>
    <font>
      <vertAlign val="superscript"/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6" fontId="4" fillId="0" borderId="0" xfId="0" applyNumberFormat="1" applyFont="1"/>
    <xf numFmtId="166" fontId="2" fillId="0" borderId="0" xfId="0" applyNumberFormat="1" applyFont="1"/>
    <xf numFmtId="165" fontId="2" fillId="0" borderId="0" xfId="6" applyNumberFormat="1" applyFont="1"/>
    <xf numFmtId="165" fontId="6" fillId="0" borderId="1" xfId="6" applyNumberFormat="1" applyFont="1" applyBorder="1" applyAlignment="1">
      <alignment horizontal="centerContinuous"/>
    </xf>
    <xf numFmtId="165" fontId="6" fillId="0" borderId="2" xfId="6" applyNumberFormat="1" applyFont="1" applyBorder="1" applyAlignment="1">
      <alignment horizontal="centerContinuous"/>
    </xf>
    <xf numFmtId="165" fontId="2" fillId="2" borderId="0" xfId="6" applyNumberFormat="1" applyFont="1" applyFill="1" applyAlignment="1">
      <alignment horizontal="center"/>
    </xf>
    <xf numFmtId="165" fontId="2" fillId="2" borderId="4" xfId="6" applyNumberFormat="1" applyFont="1" applyFill="1" applyBorder="1" applyAlignment="1">
      <alignment horizontal="center"/>
    </xf>
    <xf numFmtId="165" fontId="2" fillId="2" borderId="0" xfId="6" applyNumberFormat="1" applyFont="1" applyFill="1" applyBorder="1" applyAlignment="1">
      <alignment horizontal="center"/>
    </xf>
    <xf numFmtId="165" fontId="2" fillId="0" borderId="0" xfId="6" applyNumberFormat="1" applyFont="1" applyAlignment="1">
      <alignment horizontal="center"/>
    </xf>
    <xf numFmtId="165" fontId="2" fillId="0" borderId="0" xfId="6" applyNumberFormat="1" applyFont="1" applyAlignment="1">
      <alignment horizontal="left"/>
    </xf>
    <xf numFmtId="0" fontId="2" fillId="0" borderId="0" xfId="6" applyNumberFormat="1" applyFont="1" applyAlignment="1">
      <alignment horizontal="center"/>
    </xf>
    <xf numFmtId="165" fontId="4" fillId="0" borderId="4" xfId="6" applyNumberFormat="1" applyFont="1" applyBorder="1" applyAlignment="1"/>
    <xf numFmtId="165" fontId="4" fillId="0" borderId="0" xfId="6" applyNumberFormat="1" applyFont="1" applyBorder="1" applyAlignment="1"/>
    <xf numFmtId="165" fontId="7" fillId="0" borderId="0" xfId="6" applyNumberFormat="1" applyFont="1" applyBorder="1" applyAlignment="1"/>
    <xf numFmtId="166" fontId="2" fillId="0" borderId="0" xfId="7" applyNumberFormat="1" applyFont="1"/>
    <xf numFmtId="43" fontId="4" fillId="0" borderId="0" xfId="6" applyFont="1"/>
    <xf numFmtId="43" fontId="2" fillId="0" borderId="0" xfId="6" applyFont="1"/>
    <xf numFmtId="165" fontId="2" fillId="0" borderId="10" xfId="6" applyNumberFormat="1" applyFont="1" applyBorder="1" applyAlignment="1">
      <alignment horizontal="left"/>
    </xf>
    <xf numFmtId="165" fontId="8" fillId="0" borderId="0" xfId="6" applyNumberFormat="1" applyFont="1"/>
    <xf numFmtId="0" fontId="2" fillId="0" borderId="7" xfId="6" applyNumberFormat="1" applyFont="1" applyBorder="1" applyAlignment="1">
      <alignment horizontal="center"/>
    </xf>
    <xf numFmtId="165" fontId="4" fillId="0" borderId="6" xfId="6" applyNumberFormat="1" applyFont="1" applyBorder="1" applyAlignment="1"/>
    <xf numFmtId="165" fontId="4" fillId="0" borderId="7" xfId="6" applyNumberFormat="1" applyFont="1" applyBorder="1" applyAlignment="1"/>
    <xf numFmtId="165" fontId="7" fillId="0" borderId="7" xfId="6" applyNumberFormat="1" applyFont="1" applyBorder="1" applyAlignment="1"/>
    <xf numFmtId="165" fontId="2" fillId="0" borderId="0" xfId="6" applyNumberFormat="1" applyFont="1" applyBorder="1"/>
    <xf numFmtId="166" fontId="2" fillId="0" borderId="0" xfId="7" applyNumberFormat="1" applyFont="1" applyBorder="1"/>
    <xf numFmtId="165" fontId="2" fillId="0" borderId="2" xfId="6" applyNumberFormat="1" applyFont="1" applyBorder="1" applyAlignment="1">
      <alignment horizontal="centerContinuous"/>
    </xf>
    <xf numFmtId="165" fontId="2" fillId="0" borderId="3" xfId="6" applyNumberFormat="1" applyFont="1" applyBorder="1" applyAlignment="1">
      <alignment horizontal="centerContinuous"/>
    </xf>
    <xf numFmtId="165" fontId="2" fillId="0" borderId="3" xfId="6" applyNumberFormat="1" applyFont="1" applyBorder="1"/>
    <xf numFmtId="165" fontId="2" fillId="0" borderId="4" xfId="6" applyNumberFormat="1" applyFont="1" applyBorder="1"/>
    <xf numFmtId="166" fontId="2" fillId="0" borderId="5" xfId="7" applyNumberFormat="1" applyFont="1" applyBorder="1"/>
    <xf numFmtId="43" fontId="2" fillId="0" borderId="0" xfId="6" applyNumberFormat="1" applyFont="1"/>
    <xf numFmtId="165" fontId="2" fillId="0" borderId="6" xfId="6" applyNumberFormat="1" applyFont="1" applyBorder="1"/>
    <xf numFmtId="166" fontId="2" fillId="0" borderId="8" xfId="7" applyNumberFormat="1" applyFont="1" applyBorder="1"/>
    <xf numFmtId="165" fontId="2" fillId="0" borderId="9" xfId="6" applyNumberFormat="1" applyFont="1" applyBorder="1"/>
    <xf numFmtId="5" fontId="4" fillId="0" borderId="0" xfId="6" applyNumberFormat="1" applyFont="1"/>
    <xf numFmtId="0" fontId="5" fillId="0" borderId="0" xfId="0" applyFont="1"/>
    <xf numFmtId="165" fontId="2" fillId="2" borderId="0" xfId="6" applyNumberFormat="1" applyFont="1" applyFill="1" applyBorder="1" applyAlignment="1">
      <alignment horizontal="center" wrapText="1"/>
    </xf>
    <xf numFmtId="165" fontId="6" fillId="0" borderId="2" xfId="6" applyNumberFormat="1" applyFont="1" applyBorder="1" applyAlignment="1">
      <alignment horizontal="center"/>
    </xf>
    <xf numFmtId="165" fontId="2" fillId="0" borderId="7" xfId="6" applyNumberFormat="1" applyFont="1" applyBorder="1"/>
    <xf numFmtId="166" fontId="4" fillId="0" borderId="14" xfId="6" applyNumberFormat="1" applyFont="1" applyBorder="1"/>
    <xf numFmtId="166" fontId="4" fillId="0" borderId="12" xfId="6" applyNumberFormat="1" applyFont="1" applyBorder="1"/>
    <xf numFmtId="165" fontId="7" fillId="0" borderId="0" xfId="6" applyNumberFormat="1" applyFont="1"/>
    <xf numFmtId="165" fontId="7" fillId="0" borderId="0" xfId="6" applyNumberFormat="1" applyFont="1" applyAlignment="1">
      <alignment horizontal="center"/>
    </xf>
    <xf numFmtId="43" fontId="7" fillId="0" borderId="0" xfId="6" applyNumberFormat="1" applyFont="1"/>
    <xf numFmtId="165" fontId="7" fillId="0" borderId="11" xfId="6" applyNumberFormat="1" applyFont="1" applyBorder="1"/>
    <xf numFmtId="166" fontId="7" fillId="0" borderId="15" xfId="6" applyNumberFormat="1" applyFont="1" applyBorder="1"/>
    <xf numFmtId="166" fontId="7" fillId="0" borderId="13" xfId="6" applyNumberFormat="1" applyFont="1" applyBorder="1"/>
    <xf numFmtId="9" fontId="2" fillId="0" borderId="0" xfId="8" quotePrefix="1" applyFont="1"/>
    <xf numFmtId="9" fontId="2" fillId="0" borderId="0" xfId="8" applyFont="1"/>
    <xf numFmtId="9" fontId="7" fillId="0" borderId="0" xfId="8" applyFont="1"/>
    <xf numFmtId="9" fontId="2" fillId="0" borderId="0" xfId="8" applyFont="1" applyAlignment="1">
      <alignment horizontal="right"/>
    </xf>
    <xf numFmtId="49" fontId="7" fillId="0" borderId="0" xfId="6" applyNumberFormat="1" applyFont="1"/>
    <xf numFmtId="165" fontId="7" fillId="0" borderId="16" xfId="6" applyNumberFormat="1" applyFont="1" applyBorder="1"/>
    <xf numFmtId="165" fontId="2" fillId="0" borderId="16" xfId="6" applyNumberFormat="1" applyFont="1" applyBorder="1"/>
    <xf numFmtId="5" fontId="2" fillId="0" borderId="0" xfId="6" applyNumberFormat="1" applyFont="1"/>
    <xf numFmtId="5" fontId="2" fillId="0" borderId="7" xfId="6" applyNumberFormat="1" applyFont="1" applyBorder="1"/>
    <xf numFmtId="0" fontId="0" fillId="0" borderId="0" xfId="0" applyAlignment="1">
      <alignment horizontal="center"/>
    </xf>
    <xf numFmtId="167" fontId="0" fillId="0" borderId="0" xfId="8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 wrapText="1"/>
    </xf>
    <xf numFmtId="168" fontId="2" fillId="0" borderId="0" xfId="6" applyNumberFormat="1" applyFont="1"/>
    <xf numFmtId="165" fontId="5" fillId="0" borderId="0" xfId="6" applyNumberFormat="1" applyFont="1"/>
    <xf numFmtId="165" fontId="5" fillId="0" borderId="0" xfId="6" applyNumberFormat="1" applyFont="1" applyBorder="1"/>
    <xf numFmtId="0" fontId="11" fillId="0" borderId="0" xfId="0" applyFont="1" applyAlignment="1">
      <alignment horizontal="left" vertical="center"/>
    </xf>
    <xf numFmtId="49" fontId="2" fillId="0" borderId="0" xfId="6" applyNumberFormat="1" applyFont="1"/>
    <xf numFmtId="165" fontId="3" fillId="0" borderId="0" xfId="6" applyNumberFormat="1" applyFont="1"/>
    <xf numFmtId="165" fontId="3" fillId="0" borderId="0" xfId="6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6" applyNumberFormat="1" applyFont="1"/>
    <xf numFmtId="168" fontId="7" fillId="0" borderId="0" xfId="6" applyNumberFormat="1" applyFont="1"/>
    <xf numFmtId="169" fontId="0" fillId="0" borderId="0" xfId="7" applyNumberFormat="1" applyFont="1"/>
    <xf numFmtId="9" fontId="2" fillId="0" borderId="0" xfId="0" applyNumberFormat="1" applyFont="1" applyAlignment="1">
      <alignment horizontal="right" vertical="center"/>
    </xf>
    <xf numFmtId="9" fontId="15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6" fontId="0" fillId="0" borderId="0" xfId="0" applyNumberFormat="1"/>
    <xf numFmtId="5" fontId="0" fillId="0" borderId="0" xfId="7" applyNumberFormat="1" applyFont="1" applyBorder="1"/>
    <xf numFmtId="6" fontId="0" fillId="0" borderId="0" xfId="0" applyNumberFormat="1" applyBorder="1"/>
    <xf numFmtId="0" fontId="0" fillId="0" borderId="0" xfId="0" applyBorder="1"/>
    <xf numFmtId="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0" xfId="0" applyNumberFormat="1" applyAlignment="1">
      <alignment horizontal="center"/>
    </xf>
    <xf numFmtId="0" fontId="11" fillId="0" borderId="0" xfId="0" applyFont="1"/>
    <xf numFmtId="43" fontId="4" fillId="0" borderId="0" xfId="6" applyFont="1" applyFill="1"/>
    <xf numFmtId="43" fontId="2" fillId="0" borderId="0" xfId="6" applyFont="1" applyFill="1"/>
    <xf numFmtId="0" fontId="2" fillId="0" borderId="0" xfId="0" applyFont="1" applyFill="1"/>
    <xf numFmtId="0" fontId="4" fillId="0" borderId="0" xfId="0" applyFont="1" applyFill="1"/>
    <xf numFmtId="166" fontId="7" fillId="0" borderId="0" xfId="0" applyNumberFormat="1" applyFont="1"/>
    <xf numFmtId="165" fontId="2" fillId="0" borderId="0" xfId="6" applyNumberFormat="1" applyFont="1" applyAlignment="1">
      <alignment horizontal="right"/>
    </xf>
    <xf numFmtId="165" fontId="7" fillId="0" borderId="7" xfId="6" applyNumberFormat="1" applyFont="1" applyBorder="1" applyAlignment="1">
      <alignment horizontal="right"/>
    </xf>
    <xf numFmtId="165" fontId="2" fillId="0" borderId="7" xfId="6" applyNumberFormat="1" applyFont="1" applyBorder="1" applyAlignment="1">
      <alignment horizontal="right"/>
    </xf>
    <xf numFmtId="5" fontId="0" fillId="0" borderId="0" xfId="0" applyNumberForma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7" xfId="0" applyBorder="1"/>
    <xf numFmtId="49" fontId="2" fillId="0" borderId="16" xfId="6" applyNumberFormat="1" applyFont="1" applyFill="1" applyBorder="1" applyAlignment="1">
      <alignment horizontal="left"/>
    </xf>
    <xf numFmtId="49" fontId="15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49" fontId="7" fillId="0" borderId="7" xfId="6" applyNumberFormat="1" applyFont="1" applyBorder="1"/>
    <xf numFmtId="165" fontId="4" fillId="0" borderId="0" xfId="6" applyNumberFormat="1" applyFont="1" applyBorder="1"/>
    <xf numFmtId="166" fontId="4" fillId="0" borderId="0" xfId="0" applyNumberFormat="1" applyFont="1" applyFill="1"/>
    <xf numFmtId="0" fontId="17" fillId="0" borderId="0" xfId="9" applyFill="1"/>
    <xf numFmtId="6" fontId="0" fillId="0" borderId="0" xfId="0" applyNumberFormat="1" applyAlignment="1">
      <alignment horizontal="right"/>
    </xf>
    <xf numFmtId="6" fontId="0" fillId="0" borderId="0" xfId="0" applyNumberFormat="1" applyBorder="1" applyAlignment="1">
      <alignment horizontal="right"/>
    </xf>
    <xf numFmtId="6" fontId="0" fillId="0" borderId="0" xfId="7" applyNumberFormat="1" applyFont="1" applyBorder="1"/>
    <xf numFmtId="0" fontId="0" fillId="0" borderId="0" xfId="0" applyFill="1"/>
    <xf numFmtId="5" fontId="0" fillId="0" borderId="0" xfId="7" applyNumberFormat="1" applyFont="1" applyFill="1" applyBorder="1"/>
    <xf numFmtId="0" fontId="0" fillId="3" borderId="0" xfId="0" applyFill="1"/>
    <xf numFmtId="5" fontId="0" fillId="3" borderId="0" xfId="0" applyNumberFormat="1" applyFill="1"/>
    <xf numFmtId="9" fontId="0" fillId="3" borderId="0" xfId="8" applyFont="1" applyFill="1"/>
    <xf numFmtId="165" fontId="2" fillId="0" borderId="14" xfId="6" applyNumberFormat="1" applyFont="1" applyBorder="1" applyAlignment="1">
      <alignment horizontal="left"/>
    </xf>
    <xf numFmtId="165" fontId="7" fillId="0" borderId="15" xfId="6" applyNumberFormat="1" applyFont="1" applyBorder="1"/>
    <xf numFmtId="5" fontId="0" fillId="4" borderId="0" xfId="7" applyNumberFormat="1" applyFont="1" applyFill="1" applyBorder="1"/>
    <xf numFmtId="0" fontId="2" fillId="0" borderId="0" xfId="0" applyFont="1" applyAlignment="1">
      <alignment vertical="center" wrapText="1"/>
    </xf>
  </cellXfs>
  <cellStyles count="10">
    <cellStyle name="Comma" xfId="6" builtinId="3"/>
    <cellStyle name="Currency" xfId="7" builtinId="4"/>
    <cellStyle name="Hyperlink" xfId="9" builtinId="8"/>
    <cellStyle name="Normal" xfId="0" builtinId="0"/>
    <cellStyle name="Percent" xfId="8" builtinId="5"/>
    <cellStyle name="XLConnect.Boolean" xfId="4" xr:uid="{00000000-0005-0000-0000-000005000000}"/>
    <cellStyle name="XLConnect.DateTime" xfId="5" xr:uid="{00000000-0005-0000-0000-000006000000}"/>
    <cellStyle name="XLConnect.Header" xfId="1" xr:uid="{00000000-0005-0000-0000-000007000000}"/>
    <cellStyle name="XLConnect.Numeric" xfId="3" xr:uid="{00000000-0005-0000-0000-000008000000}"/>
    <cellStyle name="XLConnect.String" xfId="2" xr:uid="{00000000-0005-0000-0000-000009000000}"/>
  </cellStyles>
  <dxfs count="0"/>
  <tableStyles count="0" defaultTableStyle="TableStyleMedium2" defaultPivotStyle="PivotStyleLight16"/>
  <colors>
    <mruColors>
      <color rgb="FF0000CC"/>
      <color rgb="FFA0C1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0C1AF">
                <a:alpha val="50196"/>
              </a:srgb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Figures!$B$3:$B$10</c:f>
              <c:strCache>
                <c:ptCount val="8"/>
                <c:pt idx="0">
                  <c:v>AYA switching to LA-ART (40% to 100%)</c:v>
                </c:pt>
                <c:pt idx="1">
                  <c:v>Oral ART drug cost ($60 to $90)</c:v>
                </c:pt>
                <c:pt idx="2">
                  <c:v>2029 ART coverage (75% to 90%)</c:v>
                </c:pt>
                <c:pt idx="3">
                  <c:v>Number of AYA partners (20% lower to 20% higher)</c:v>
                </c:pt>
                <c:pt idx="4">
                  <c:v>Population oral ART nonadherence after 2019 (20% lower to 20% higher)</c:v>
                </c:pt>
                <c:pt idx="5">
                  <c:v>AYA oral ART nonadherence (20% lower to 20% higher)</c:v>
                </c:pt>
                <c:pt idx="6">
                  <c:v>LAART viral suppression (85% to 100%)</c:v>
                </c:pt>
                <c:pt idx="7">
                  <c:v>20-year time horizon</c:v>
                </c:pt>
              </c:strCache>
            </c:strRef>
          </c:cat>
          <c:val>
            <c:numRef>
              <c:f>Figures!$C$3:$C$10</c:f>
              <c:numCache>
                <c:formatCode>"$"#,##0_);[Red]\("$"#,##0\)</c:formatCode>
                <c:ptCount val="8"/>
                <c:pt idx="0">
                  <c:v>88.877234331278288</c:v>
                </c:pt>
                <c:pt idx="1">
                  <c:v>88.515658776713735</c:v>
                </c:pt>
                <c:pt idx="2" formatCode="&quot;$&quot;#,##0_);\(&quot;$&quot;#,##0\)">
                  <c:v>87.048954828577564</c:v>
                </c:pt>
                <c:pt idx="3" formatCode="&quot;$&quot;#,##0_);\(&quot;$&quot;#,##0\)">
                  <c:v>81.748560838261255</c:v>
                </c:pt>
                <c:pt idx="4" formatCode="&quot;$&quot;#,##0_);\(&quot;$&quot;#,##0\)">
                  <c:v>64.645458788843357</c:v>
                </c:pt>
                <c:pt idx="5" formatCode="&quot;$&quot;#,##0_);\(&quot;$&quot;#,##0\)">
                  <c:v>64.329496663754128</c:v>
                </c:pt>
                <c:pt idx="6" formatCode="&quot;$&quot;#,##0_);\(&quot;$&quot;#,##0\)">
                  <c:v>43.960183382064741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F-4A90-BC57-29FA2D61F4B3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Figures!$B$3:$B$10</c:f>
              <c:strCache>
                <c:ptCount val="8"/>
                <c:pt idx="0">
                  <c:v>AYA switching to LA-ART (40% to 100%)</c:v>
                </c:pt>
                <c:pt idx="1">
                  <c:v>Oral ART drug cost ($60 to $90)</c:v>
                </c:pt>
                <c:pt idx="2">
                  <c:v>2029 ART coverage (75% to 90%)</c:v>
                </c:pt>
                <c:pt idx="3">
                  <c:v>Number of AYA partners (20% lower to 20% higher)</c:v>
                </c:pt>
                <c:pt idx="4">
                  <c:v>Population oral ART nonadherence after 2019 (20% lower to 20% higher)</c:v>
                </c:pt>
                <c:pt idx="5">
                  <c:v>AYA oral ART nonadherence (20% lower to 20% higher)</c:v>
                </c:pt>
                <c:pt idx="6">
                  <c:v>LAART viral suppression (85% to 100%)</c:v>
                </c:pt>
                <c:pt idx="7">
                  <c:v>20-year time horizon</c:v>
                </c:pt>
              </c:strCache>
            </c:strRef>
          </c:cat>
          <c:val>
            <c:numRef>
              <c:f>Figures!$D$3:$D$10</c:f>
              <c:numCache>
                <c:formatCode>"$"#,##0_);[Red]\("$"#,##0\)</c:formatCode>
                <c:ptCount val="8"/>
                <c:pt idx="0">
                  <c:v>90.176489188662543</c:v>
                </c:pt>
                <c:pt idx="1">
                  <c:v>90.252079373948902</c:v>
                </c:pt>
                <c:pt idx="2" formatCode="&quot;$&quot;#,##0_);\(&quot;$&quot;#,##0\)">
                  <c:v>90.461303645790295</c:v>
                </c:pt>
                <c:pt idx="3" formatCode="&quot;$&quot;#,##0_);\(&quot;$&quot;#,##0\)">
                  <c:v>96.50507825679469</c:v>
                </c:pt>
                <c:pt idx="4" formatCode="&quot;$&quot;#,##0_);\(&quot;$&quot;#,##0\)">
                  <c:v>114.39971880431841</c:v>
                </c:pt>
                <c:pt idx="5" formatCode="&quot;$&quot;#,##0_);\(&quot;$&quot;#,##0\)">
                  <c:v>114.97816882379644</c:v>
                </c:pt>
                <c:pt idx="6" formatCode="&quot;$&quot;#,##0_);\(&quot;$&quot;#,##0\)">
                  <c:v>118.87580141457873</c:v>
                </c:pt>
                <c:pt idx="7" formatCode="&quot;$&quot;#,##0_);\(&quot;$&quot;#,##0\)">
                  <c:v>185.3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F-4A90-BC57-29FA2D61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47228328"/>
        <c:axId val="447228720"/>
      </c:barChart>
      <c:catAx>
        <c:axId val="447228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228720"/>
        <c:crossesAt val="89.2"/>
        <c:auto val="1"/>
        <c:lblAlgn val="ctr"/>
        <c:lblOffset val="100"/>
        <c:noMultiLvlLbl val="0"/>
      </c:catAx>
      <c:valAx>
        <c:axId val="447228720"/>
        <c:scaling>
          <c:orientation val="minMax"/>
          <c:max val="120"/>
          <c:min val="40"/>
        </c:scaling>
        <c:delete val="0"/>
        <c:axPos val="b"/>
        <c:numFmt formatCode="&quot;$&quot;#,##0_);\(&quot;$&quot;#,##0\)" sourceLinked="0"/>
        <c:majorTickMark val="in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2283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0C1AF">
                <a:alpha val="50196"/>
              </a:srgb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Figures!$B$20:$B$27</c:f>
              <c:strCache>
                <c:ptCount val="8"/>
                <c:pt idx="0">
                  <c:v>AYA switching to LA-ART (40% to 100%)</c:v>
                </c:pt>
                <c:pt idx="1">
                  <c:v>Oral ART drug cost ($60 to $90)</c:v>
                </c:pt>
                <c:pt idx="2">
                  <c:v>2029 ART coverage (75% to 90%)</c:v>
                </c:pt>
                <c:pt idx="3">
                  <c:v>Number of AYA partners (20% lower to 20% higher)</c:v>
                </c:pt>
                <c:pt idx="4">
                  <c:v>Population oral ART nonadherence after 2019 (20% lower to 20% higher)</c:v>
                </c:pt>
                <c:pt idx="5">
                  <c:v>AYA oral ART nonadherence (20% lower to 20% higher)</c:v>
                </c:pt>
                <c:pt idx="6">
                  <c:v>LAART viral suppression (85% to 100%)</c:v>
                </c:pt>
                <c:pt idx="7">
                  <c:v>20-year time horizon</c:v>
                </c:pt>
              </c:strCache>
            </c:strRef>
          </c:cat>
          <c:val>
            <c:numRef>
              <c:f>Figures!$C$20:$C$27</c:f>
              <c:numCache>
                <c:formatCode>"$"#,##0_);[Red]\("$"#,##0\)</c:formatCode>
                <c:ptCount val="8"/>
                <c:pt idx="0">
                  <c:v>235.44730563671666</c:v>
                </c:pt>
                <c:pt idx="1">
                  <c:v>235.18379851815052</c:v>
                </c:pt>
                <c:pt idx="2" formatCode="&quot;$&quot;#,##0_);\(&quot;$&quot;#,##0\)">
                  <c:v>231.91538613993941</c:v>
                </c:pt>
                <c:pt idx="3" formatCode="&quot;$&quot;#,##0_);\(&quot;$&quot;#,##0\)">
                  <c:v>233.43478958400098</c:v>
                </c:pt>
                <c:pt idx="4" formatCode="&quot;$&quot;#,##0_);\(&quot;$&quot;#,##0\)">
                  <c:v>172.68468328413229</c:v>
                </c:pt>
                <c:pt idx="5" formatCode="&quot;$&quot;#,##0_);\(&quot;$&quot;#,##0\)">
                  <c:v>172.53332666536454</c:v>
                </c:pt>
                <c:pt idx="6" formatCode="&quot;$&quot;#,##0_);\(&quot;$&quot;#,##0\)">
                  <c:v>122.99824883834236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C-4AA8-8E59-4330DFED2BA0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Figures!$B$20:$B$27</c:f>
              <c:strCache>
                <c:ptCount val="8"/>
                <c:pt idx="0">
                  <c:v>AYA switching to LA-ART (40% to 100%)</c:v>
                </c:pt>
                <c:pt idx="1">
                  <c:v>Oral ART drug cost ($60 to $90)</c:v>
                </c:pt>
                <c:pt idx="2">
                  <c:v>2029 ART coverage (75% to 90%)</c:v>
                </c:pt>
                <c:pt idx="3">
                  <c:v>Number of AYA partners (20% lower to 20% higher)</c:v>
                </c:pt>
                <c:pt idx="4">
                  <c:v>Population oral ART nonadherence after 2019 (20% lower to 20% higher)</c:v>
                </c:pt>
                <c:pt idx="5">
                  <c:v>AYA oral ART nonadherence (20% lower to 20% higher)</c:v>
                </c:pt>
                <c:pt idx="6">
                  <c:v>LAART viral suppression (85% to 100%)</c:v>
                </c:pt>
                <c:pt idx="7">
                  <c:v>20-year time horizon</c:v>
                </c:pt>
              </c:strCache>
            </c:strRef>
          </c:cat>
          <c:val>
            <c:numRef>
              <c:f>Figures!$D$20:$D$27</c:f>
              <c:numCache>
                <c:formatCode>"$"#,##0_);[Red]\("$"#,##0\)</c:formatCode>
                <c:ptCount val="8"/>
                <c:pt idx="0">
                  <c:v>237.03668656049635</c:v>
                </c:pt>
                <c:pt idx="1">
                  <c:v>236.92021911538373</c:v>
                </c:pt>
                <c:pt idx="2" formatCode="&quot;$&quot;#,##0_);\(&quot;$&quot;#,##0\)">
                  <c:v>237.95711787723167</c:v>
                </c:pt>
                <c:pt idx="3" formatCode="&quot;$&quot;#,##0_);\(&quot;$&quot;#,##0\)">
                  <c:v>240.6724260072495</c:v>
                </c:pt>
                <c:pt idx="4" formatCode="&quot;$&quot;#,##0_);\(&quot;$&quot;#,##0\)">
                  <c:v>300.17342734448948</c:v>
                </c:pt>
                <c:pt idx="5" formatCode="&quot;$&quot;#,##0_);\(&quot;$&quot;#,##0\)">
                  <c:v>300.51884715264652</c:v>
                </c:pt>
                <c:pt idx="6" formatCode="&quot;$&quot;#,##0_);\(&quot;$&quot;#,##0\)">
                  <c:v>310.31201603041666</c:v>
                </c:pt>
                <c:pt idx="7" formatCode="&quot;$&quot;#,##0_);\(&quot;$&quot;#,##0\)">
                  <c:v>460.56418227813754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C-4AA8-8E59-4330DFED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97054744"/>
        <c:axId val="397049648"/>
      </c:barChart>
      <c:catAx>
        <c:axId val="39705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049648"/>
        <c:crossesAt val="235.9"/>
        <c:auto val="1"/>
        <c:lblAlgn val="ctr"/>
        <c:lblOffset val="100"/>
        <c:noMultiLvlLbl val="0"/>
      </c:catAx>
      <c:valAx>
        <c:axId val="397049648"/>
        <c:scaling>
          <c:orientation val="minMax"/>
          <c:max val="320"/>
          <c:min val="120"/>
        </c:scaling>
        <c:delete val="0"/>
        <c:axPos val="b"/>
        <c:numFmt formatCode="&quot;$&quot;#,##0_);\(&quot;$&quot;#,##0\)" sourceLinked="0"/>
        <c:majorTickMark val="in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70547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142875</xdr:rowOff>
    </xdr:from>
    <xdr:to>
      <xdr:col>11</xdr:col>
      <xdr:colOff>28575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2E7D-BF0E-4502-8DA7-9AF2112B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47625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C3E6B-BC16-4D22-9C98-44D309690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lintonhealthaccess.org/content/uploads/2018/09/2018-HIV-Market-Repor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M50"/>
  <sheetViews>
    <sheetView showGridLines="0" workbookViewId="0">
      <selection activeCell="B20" sqref="B20"/>
    </sheetView>
  </sheetViews>
  <sheetFormatPr defaultRowHeight="14.4" x14ac:dyDescent="0.3"/>
  <cols>
    <col min="1" max="1" width="4.109375" customWidth="1"/>
    <col min="2" max="2" width="53.6640625" customWidth="1"/>
    <col min="3" max="4" width="17.109375" customWidth="1"/>
  </cols>
  <sheetData>
    <row r="2" spans="1:13" ht="16.2" x14ac:dyDescent="0.3">
      <c r="B2" s="101" t="s">
        <v>106</v>
      </c>
      <c r="C2" s="56"/>
      <c r="D2" s="57"/>
      <c r="G2" s="71" t="s">
        <v>94</v>
      </c>
      <c r="H2" s="12"/>
      <c r="I2" s="12"/>
      <c r="J2" s="12"/>
      <c r="K2" s="12"/>
      <c r="L2" s="12"/>
      <c r="M2" s="12"/>
    </row>
    <row r="3" spans="1:13" x14ac:dyDescent="0.3">
      <c r="B3" s="42"/>
      <c r="C3" s="93" t="s">
        <v>69</v>
      </c>
      <c r="D3" s="94" t="s">
        <v>70</v>
      </c>
      <c r="G3" s="6"/>
      <c r="H3" s="6"/>
      <c r="I3" s="6"/>
      <c r="J3" s="6"/>
      <c r="K3" s="6"/>
      <c r="L3" s="6"/>
      <c r="M3" s="6"/>
    </row>
    <row r="4" spans="1:13" ht="16.2" x14ac:dyDescent="0.3">
      <c r="B4" s="55" t="s">
        <v>107</v>
      </c>
      <c r="C4" s="51">
        <v>0.85</v>
      </c>
      <c r="D4" s="54" t="s">
        <v>108</v>
      </c>
      <c r="G4" s="70" t="s">
        <v>46</v>
      </c>
      <c r="H4" s="6"/>
      <c r="I4" s="6"/>
      <c r="J4" s="6"/>
      <c r="K4" s="6"/>
      <c r="L4" s="66" t="s">
        <v>42</v>
      </c>
      <c r="M4" s="6"/>
    </row>
    <row r="5" spans="1:13" ht="16.2" x14ac:dyDescent="0.3">
      <c r="B5" s="69" t="s">
        <v>109</v>
      </c>
      <c r="C5" s="53">
        <v>0.94</v>
      </c>
      <c r="D5" s="52">
        <v>0.94</v>
      </c>
      <c r="G5" s="73">
        <v>2017</v>
      </c>
      <c r="H5" s="52">
        <v>0.75</v>
      </c>
      <c r="I5" s="6"/>
      <c r="J5" s="6"/>
      <c r="K5" s="66"/>
      <c r="L5" s="6"/>
      <c r="M5" s="6"/>
    </row>
    <row r="6" spans="1:13" ht="16.2" x14ac:dyDescent="0.3">
      <c r="B6" s="102" t="s">
        <v>110</v>
      </c>
      <c r="C6" s="76">
        <v>0.91</v>
      </c>
      <c r="D6" s="77">
        <v>0.78</v>
      </c>
      <c r="G6" s="73">
        <v>2029</v>
      </c>
      <c r="H6" s="54" t="s">
        <v>44</v>
      </c>
      <c r="I6" s="6"/>
      <c r="J6" s="6"/>
      <c r="K6" s="66"/>
      <c r="L6" s="6"/>
      <c r="M6" s="6"/>
    </row>
    <row r="7" spans="1:13" x14ac:dyDescent="0.3">
      <c r="B7" s="103"/>
      <c r="C7" s="78"/>
      <c r="D7" s="78"/>
      <c r="G7" s="6"/>
      <c r="H7" s="6"/>
      <c r="I7" s="6"/>
      <c r="J7" s="6"/>
      <c r="K7" s="66"/>
      <c r="L7" s="6"/>
      <c r="M7" s="6"/>
    </row>
    <row r="8" spans="1:13" x14ac:dyDescent="0.3">
      <c r="B8" s="55" t="s">
        <v>113</v>
      </c>
      <c r="C8" s="92" t="str">
        <f>TEXT(CEA!S27,"0,000") &amp; " (" &amp; TEXT(CEA!S27/CEA!D13,"0.0%") &amp; ")"</f>
        <v>40,540 (4.5%)</v>
      </c>
      <c r="D8" s="92" t="str">
        <f>TEXT(CEA!S69,"0,000") &amp; " (" &amp; TEXT(CEA!S69/CEA!D13,"0.0%") &amp; ")"</f>
        <v>6,807 (0.8%)</v>
      </c>
      <c r="G8" s="72" t="s">
        <v>47</v>
      </c>
      <c r="H8" s="60"/>
      <c r="I8" s="6"/>
      <c r="J8" s="6"/>
      <c r="K8" s="6"/>
      <c r="L8" s="66" t="s">
        <v>41</v>
      </c>
      <c r="M8" s="6"/>
    </row>
    <row r="9" spans="1:13" x14ac:dyDescent="0.3">
      <c r="B9" s="55" t="s">
        <v>30</v>
      </c>
      <c r="C9" s="92" t="str">
        <f>TEXT(CEA!R27,"0,000") &amp; " (" &amp; TEXT(CEA!R27/CEA!B13,"0.0%") &amp; ")"</f>
        <v>20,480 (0.9%)</v>
      </c>
      <c r="D9" s="92" t="str">
        <f>TEXT(CEA!R69,"0,000") &amp; " (" &amp; TEXT(CEA!R69/CEA!B13,"0.0%") &amp; ")"</f>
        <v>4,178 (0.2%)</v>
      </c>
      <c r="G9" s="62" t="s">
        <v>36</v>
      </c>
      <c r="H9" s="61">
        <v>0.56899999999999995</v>
      </c>
      <c r="I9" s="6"/>
      <c r="J9" s="6"/>
      <c r="K9" s="66"/>
      <c r="L9" s="6"/>
      <c r="M9" s="6"/>
    </row>
    <row r="10" spans="1:13" x14ac:dyDescent="0.3">
      <c r="B10" s="55" t="s">
        <v>31</v>
      </c>
      <c r="C10" s="6">
        <f>CEA!Q27</f>
        <v>122081.34845875081</v>
      </c>
      <c r="D10" s="6">
        <f>CEA!Q69</f>
        <v>25173.155022027669</v>
      </c>
      <c r="G10" s="62" t="s">
        <v>37</v>
      </c>
      <c r="H10" s="61">
        <v>0.65500000000000003</v>
      </c>
      <c r="I10" s="6"/>
      <c r="J10" s="6"/>
      <c r="K10" s="66"/>
      <c r="L10" s="6"/>
      <c r="M10" s="6"/>
    </row>
    <row r="11" spans="1:13" x14ac:dyDescent="0.3">
      <c r="B11" s="55" t="s">
        <v>34</v>
      </c>
      <c r="C11" s="58">
        <f>CEA!W26</f>
        <v>89.210227015608027</v>
      </c>
      <c r="D11" s="58">
        <f>CEA!W68</f>
        <v>19.933162474436379</v>
      </c>
      <c r="G11" s="62" t="s">
        <v>38</v>
      </c>
      <c r="H11" s="61">
        <v>0.63400000000000001</v>
      </c>
      <c r="I11" s="6"/>
      <c r="J11" s="6"/>
      <c r="K11" s="66"/>
      <c r="L11" s="6"/>
      <c r="M11" s="6"/>
    </row>
    <row r="12" spans="1:13" x14ac:dyDescent="0.3">
      <c r="B12" s="104" t="s">
        <v>35</v>
      </c>
      <c r="C12" s="59">
        <f>CEA!W27</f>
        <v>235.87836675704256</v>
      </c>
      <c r="D12" s="59">
        <f>CEA!W69</f>
        <v>55.729832285171106</v>
      </c>
      <c r="G12" s="62" t="s">
        <v>39</v>
      </c>
      <c r="H12" s="61">
        <v>0.81400000000000006</v>
      </c>
      <c r="I12" s="27"/>
      <c r="J12" s="27"/>
      <c r="K12" s="67"/>
      <c r="L12" s="27"/>
      <c r="M12" s="27"/>
    </row>
    <row r="13" spans="1:13" ht="16.2" x14ac:dyDescent="0.3">
      <c r="B13" s="55" t="s">
        <v>111</v>
      </c>
      <c r="C13" s="6"/>
      <c r="D13" s="6"/>
      <c r="G13" s="62" t="s">
        <v>40</v>
      </c>
      <c r="H13" s="61">
        <v>0.86699999999999999</v>
      </c>
      <c r="I13" s="6"/>
      <c r="J13" s="6"/>
      <c r="K13" s="66"/>
      <c r="L13" s="6"/>
      <c r="M13" s="6"/>
    </row>
    <row r="14" spans="1:13" x14ac:dyDescent="0.3">
      <c r="B14" s="45" t="s">
        <v>104</v>
      </c>
      <c r="C14" s="6"/>
      <c r="D14" s="6"/>
      <c r="G14" s="45"/>
      <c r="H14" s="6"/>
      <c r="I14" s="6"/>
      <c r="J14" s="6"/>
      <c r="K14" s="66"/>
      <c r="L14" s="6"/>
      <c r="M14" s="6"/>
    </row>
    <row r="15" spans="1:13" ht="15.6" x14ac:dyDescent="0.3">
      <c r="B15" s="97" t="s">
        <v>112</v>
      </c>
      <c r="C15" s="6"/>
      <c r="D15" s="6"/>
      <c r="G15" s="70" t="s">
        <v>48</v>
      </c>
      <c r="H15" s="5"/>
      <c r="I15" s="6"/>
      <c r="J15" s="6"/>
      <c r="K15" s="6"/>
      <c r="L15" s="86" t="s">
        <v>85</v>
      </c>
      <c r="M15" s="6"/>
    </row>
    <row r="16" spans="1:13" ht="16.2" x14ac:dyDescent="0.3">
      <c r="A16" s="119"/>
      <c r="B16" s="55" t="s">
        <v>105</v>
      </c>
      <c r="C16" s="6"/>
      <c r="D16" s="6"/>
      <c r="G16" s="6" t="s">
        <v>49</v>
      </c>
      <c r="H16" s="6"/>
      <c r="I16" s="6"/>
      <c r="J16" s="91">
        <f>Costs!F4</f>
        <v>72</v>
      </c>
      <c r="K16" s="6"/>
      <c r="L16" s="66"/>
      <c r="M16" s="6"/>
    </row>
    <row r="17" spans="1:13" ht="15.6" x14ac:dyDescent="0.3">
      <c r="A17" s="119"/>
      <c r="B17" s="99" t="s">
        <v>103</v>
      </c>
      <c r="C17" s="100"/>
      <c r="D17" s="100"/>
      <c r="G17" s="6" t="s">
        <v>50</v>
      </c>
      <c r="H17" s="6"/>
      <c r="I17" s="6"/>
      <c r="J17" s="5">
        <f>Costs!F5</f>
        <v>160.64624656759582</v>
      </c>
      <c r="K17" s="6"/>
      <c r="L17" s="66"/>
      <c r="M17" s="6"/>
    </row>
    <row r="18" spans="1:13" x14ac:dyDescent="0.3">
      <c r="A18" s="119"/>
      <c r="L18" s="66"/>
      <c r="M18" s="6"/>
    </row>
    <row r="19" spans="1:13" ht="15.6" x14ac:dyDescent="0.3">
      <c r="A19" s="119"/>
      <c r="B19" s="97"/>
      <c r="G19" s="70" t="s">
        <v>93</v>
      </c>
      <c r="H19" s="6"/>
      <c r="I19" s="6"/>
      <c r="J19" s="5"/>
      <c r="K19" s="6"/>
      <c r="L19" s="66"/>
      <c r="M19" s="6"/>
    </row>
    <row r="20" spans="1:13" ht="15.6" x14ac:dyDescent="0.3">
      <c r="A20" s="98"/>
      <c r="G20" s="6" t="s">
        <v>50</v>
      </c>
      <c r="H20" s="6"/>
      <c r="I20" s="6"/>
      <c r="J20" s="5">
        <f>Costs!F7</f>
        <v>155.31000196242633</v>
      </c>
      <c r="K20" s="6"/>
      <c r="L20" s="66"/>
      <c r="M20" s="6"/>
    </row>
    <row r="21" spans="1:13" x14ac:dyDescent="0.3">
      <c r="G21" s="6"/>
      <c r="H21" s="6"/>
      <c r="I21" s="6"/>
      <c r="J21" s="5"/>
      <c r="K21" s="6"/>
      <c r="M21" s="6"/>
    </row>
    <row r="22" spans="1:13" x14ac:dyDescent="0.3">
      <c r="G22" s="70" t="s">
        <v>56</v>
      </c>
      <c r="H22" s="6"/>
      <c r="I22" s="6"/>
      <c r="J22" s="6"/>
      <c r="K22" s="6"/>
      <c r="L22" s="68" t="s">
        <v>43</v>
      </c>
      <c r="M22" s="6"/>
    </row>
    <row r="23" spans="1:13" x14ac:dyDescent="0.3">
      <c r="B23" s="113" t="s">
        <v>127</v>
      </c>
      <c r="C23" s="114">
        <f>Costs!F4+Costs!F5</f>
        <v>232.64624656759582</v>
      </c>
      <c r="D23" s="114">
        <f>C23</f>
        <v>232.64624656759582</v>
      </c>
      <c r="G23" s="6" t="s">
        <v>51</v>
      </c>
      <c r="H23" s="6"/>
      <c r="I23" s="6"/>
      <c r="J23" s="6"/>
      <c r="K23" s="65">
        <v>7.8E-2</v>
      </c>
      <c r="L23" s="6"/>
      <c r="M23" s="6"/>
    </row>
    <row r="24" spans="1:13" x14ac:dyDescent="0.3">
      <c r="B24" s="113" t="s">
        <v>128</v>
      </c>
      <c r="C24" s="114">
        <f>C12+C23</f>
        <v>468.52461332463838</v>
      </c>
      <c r="D24" s="114">
        <f>D12+D23</f>
        <v>288.37607885276691</v>
      </c>
      <c r="G24" s="6" t="s">
        <v>52</v>
      </c>
      <c r="H24" s="6"/>
      <c r="I24" s="6"/>
      <c r="J24" s="6"/>
      <c r="K24" s="65">
        <v>0.27400000000000002</v>
      </c>
      <c r="L24" s="6"/>
      <c r="M24" s="6"/>
    </row>
    <row r="25" spans="1:13" x14ac:dyDescent="0.3">
      <c r="B25" s="113" t="s">
        <v>129</v>
      </c>
      <c r="C25" s="115">
        <f>C24/C23</f>
        <v>2.0138928533648515</v>
      </c>
      <c r="D25" s="115">
        <f>D24/D23</f>
        <v>1.2395475237937212</v>
      </c>
      <c r="G25" s="6" t="s">
        <v>53</v>
      </c>
      <c r="H25" s="6"/>
      <c r="I25" s="6"/>
      <c r="J25" s="6"/>
      <c r="K25" s="65">
        <v>0.58199999999999996</v>
      </c>
      <c r="L25" s="6"/>
      <c r="M25" s="6"/>
    </row>
    <row r="26" spans="1:13" x14ac:dyDescent="0.3">
      <c r="G26" s="6" t="s">
        <v>54</v>
      </c>
      <c r="H26" s="6"/>
      <c r="I26" s="6"/>
      <c r="J26" s="6"/>
      <c r="K26" s="65">
        <v>7.8200000000000006E-2</v>
      </c>
      <c r="L26" s="6"/>
      <c r="M26" s="6"/>
    </row>
    <row r="27" spans="1:13" x14ac:dyDescent="0.3">
      <c r="G27" s="6"/>
      <c r="H27" s="6"/>
      <c r="I27" s="65"/>
      <c r="J27" s="64"/>
      <c r="K27" s="64"/>
      <c r="L27" s="6"/>
      <c r="M27" s="6"/>
    </row>
    <row r="28" spans="1:13" ht="16.2" x14ac:dyDescent="0.3">
      <c r="G28" s="69" t="s">
        <v>45</v>
      </c>
      <c r="H28" s="6"/>
      <c r="I28" s="6"/>
      <c r="J28" s="64"/>
      <c r="K28" s="64"/>
      <c r="L28" s="6"/>
      <c r="M28" s="6"/>
    </row>
    <row r="29" spans="1:13" ht="16.2" x14ac:dyDescent="0.3">
      <c r="G29" s="69" t="s">
        <v>55</v>
      </c>
      <c r="H29" s="63"/>
      <c r="I29" s="64"/>
      <c r="J29" s="64"/>
      <c r="K29" s="64"/>
      <c r="L29" s="6"/>
      <c r="M29" s="6"/>
    </row>
    <row r="30" spans="1:13" x14ac:dyDescent="0.3">
      <c r="G30" s="6"/>
      <c r="H30" s="6"/>
      <c r="I30" s="6"/>
      <c r="J30" s="6"/>
      <c r="K30" s="6"/>
      <c r="L30" s="6"/>
      <c r="M30" s="6"/>
    </row>
    <row r="31" spans="1:13" x14ac:dyDescent="0.3">
      <c r="G31" s="6"/>
      <c r="H31" s="6"/>
      <c r="I31" s="6"/>
      <c r="J31" s="6"/>
      <c r="K31" s="6"/>
      <c r="L31" s="6"/>
      <c r="M31" s="6"/>
    </row>
    <row r="38" spans="3:4" x14ac:dyDescent="0.3">
      <c r="C38" s="79"/>
      <c r="D38" s="79"/>
    </row>
    <row r="39" spans="3:4" x14ac:dyDescent="0.3">
      <c r="C39" s="79"/>
      <c r="D39" s="79"/>
    </row>
    <row r="46" spans="3:4" x14ac:dyDescent="0.3">
      <c r="C46" s="79"/>
    </row>
    <row r="47" spans="3:4" x14ac:dyDescent="0.3">
      <c r="C47" s="75"/>
      <c r="D47" s="75"/>
    </row>
    <row r="48" spans="3:4" x14ac:dyDescent="0.3">
      <c r="C48" s="79"/>
      <c r="D48" s="79"/>
    </row>
    <row r="49" spans="3:4" x14ac:dyDescent="0.3">
      <c r="C49" s="79"/>
      <c r="D49" s="79"/>
    </row>
    <row r="50" spans="3:4" x14ac:dyDescent="0.3">
      <c r="C50" s="79"/>
      <c r="D50" s="79"/>
    </row>
  </sheetData>
  <mergeCells count="1">
    <mergeCell ref="A16:A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zoomScale="90" zoomScaleNormal="90" workbookViewId="0">
      <pane xSplit="1" ySplit="2" topLeftCell="B3" activePane="bottomRight" state="frozen"/>
      <selection activeCell="U27" sqref="U27"/>
      <selection pane="topRight" activeCell="U27" sqref="U27"/>
      <selection pane="bottomLeft" activeCell="U27" sqref="U27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100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213817.12675346181</v>
      </c>
      <c r="C3" s="16">
        <v>52224.786182250828</v>
      </c>
      <c r="D3" s="16">
        <v>85975.096853560695</v>
      </c>
      <c r="E3" s="16">
        <v>172614.36208178202</v>
      </c>
      <c r="F3" s="16">
        <v>1174974.8892227241</v>
      </c>
      <c r="G3" s="16">
        <v>0</v>
      </c>
      <c r="H3" s="16">
        <v>126232.05338746188</v>
      </c>
      <c r="I3" s="16">
        <v>69540.006853608415</v>
      </c>
      <c r="J3" s="16">
        <v>44657.367667185099</v>
      </c>
      <c r="K3" s="17">
        <f>SUM(B$3:B3)</f>
        <v>213817.12675346181</v>
      </c>
      <c r="L3" s="17">
        <f>SUM(E3,K3)</f>
        <v>386431.48883524386</v>
      </c>
      <c r="M3" s="17">
        <f t="shared" ref="M3:M12" si="0">L3/($Q$9^(A3-$A$3+1))</f>
        <v>375176.20275266393</v>
      </c>
      <c r="N3" s="17">
        <f>(F3*SUM(Costs!$F$4,Costs!$F$5)+G3*SUM(Costs!$F$4,Costs!$F$5,$W26)+H3*Costs!$F$7+I3*Costs!$F$7+J3*Costs!$F$7) /($Q$9^(A3-$A$3+1))</f>
        <v>301645235.63990259</v>
      </c>
      <c r="O3" s="17">
        <f>(F3*SUM(Costs!$F$4,Costs!$F$5)+G3*SUM(Costs!$F$4,Costs!$F$5,$W27)+H3*Costs!$F$7+I3*Costs!$F$7+J3*Costs!$F$7) /($Q$9^(A3-$A$3+1))</f>
        <v>301645235.63990259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213118.94453785467</v>
      </c>
      <c r="C4" s="16">
        <v>48463.681614849826</v>
      </c>
      <c r="D4" s="16">
        <v>81079.475863186759</v>
      </c>
      <c r="E4" s="16">
        <v>168464.7581419886</v>
      </c>
      <c r="F4" s="16">
        <v>1222274.0600765699</v>
      </c>
      <c r="G4" s="16">
        <v>0</v>
      </c>
      <c r="H4" s="16">
        <v>108475.08169348988</v>
      </c>
      <c r="I4" s="16">
        <v>59413.415626367627</v>
      </c>
      <c r="J4" s="16">
        <v>37981.449682822524</v>
      </c>
      <c r="K4" s="17">
        <f>SUM(B$3:B4)</f>
        <v>426936.07129131648</v>
      </c>
      <c r="L4" s="17">
        <f t="shared" ref="L4:L12" si="1">SUM(E4,K4)</f>
        <v>595400.82943330507</v>
      </c>
      <c r="M4" s="17">
        <f t="shared" si="0"/>
        <v>561222.38611867768</v>
      </c>
      <c r="N4" s="17">
        <f>(F4*SUM(Costs!$F$4,Costs!$F$5)+G4*SUM(Costs!$F$4,Costs!$F$5,$W26)+H4*Costs!$F$7+I4*Costs!$F$7+J4*Costs!$F$7) /($Q$9^(A4-$A$3+1))</f>
        <v>298172433.05376661</v>
      </c>
      <c r="O4" s="17">
        <f>(F4*SUM(Costs!$F$4,Costs!$F$5)+G4*SUM(Costs!$F$4,Costs!$F$5,$W27)+H4*Costs!$F$7+I4*Costs!$F$7+J4*Costs!$F$7) /($Q$9^(A4-$A$3+1))</f>
        <v>298172433.05376661</v>
      </c>
    </row>
    <row r="5" spans="1:27" x14ac:dyDescent="0.25">
      <c r="A5" s="14">
        <v>2021</v>
      </c>
      <c r="B5" s="15">
        <v>213213.38019286285</v>
      </c>
      <c r="C5" s="16">
        <v>45377.767927484478</v>
      </c>
      <c r="D5" s="16">
        <v>77013.416497502927</v>
      </c>
      <c r="E5" s="16">
        <v>165054.21414567568</v>
      </c>
      <c r="F5" s="16">
        <v>1260845.1049345881</v>
      </c>
      <c r="G5" s="16">
        <v>0</v>
      </c>
      <c r="H5" s="16">
        <v>93681.836351869279</v>
      </c>
      <c r="I5" s="16">
        <v>51346.929124941045</v>
      </c>
      <c r="J5" s="16">
        <v>32687.81504300053</v>
      </c>
      <c r="K5" s="17">
        <f>SUM(B$3:B5)</f>
        <v>640149.45148417936</v>
      </c>
      <c r="L5" s="17">
        <f t="shared" si="1"/>
        <v>805203.66562985501</v>
      </c>
      <c r="M5" s="17">
        <f t="shared" si="0"/>
        <v>736875.41868175217</v>
      </c>
      <c r="N5" s="17">
        <f>(F5*SUM(Costs!$F$4,Costs!$F$5)+G5*SUM(Costs!$F$4,Costs!$F$5,$W26)+H5*Costs!$F$7+I5*Costs!$F$7+J5*Costs!$F$7) /($Q$9^(A5-$A$3+1))</f>
        <v>293698282.9521426</v>
      </c>
      <c r="O5" s="17">
        <f>(F5*SUM(Costs!$F$4,Costs!$F$5)+G5*SUM(Costs!$F$4,Costs!$F$5,$W27)+H5*Costs!$F$7+I5*Costs!$F$7+J5*Costs!$F$7) /($Q$9^(A5-$A$3+1))</f>
        <v>293698282.9521426</v>
      </c>
      <c r="Q5" s="13" t="s">
        <v>21</v>
      </c>
    </row>
    <row r="6" spans="1:27" x14ac:dyDescent="0.25">
      <c r="A6" s="14">
        <v>2022</v>
      </c>
      <c r="B6" s="15">
        <v>214092.61219792199</v>
      </c>
      <c r="C6" s="16">
        <v>42976.290363214073</v>
      </c>
      <c r="D6" s="16">
        <v>73802.239601629888</v>
      </c>
      <c r="E6" s="16">
        <v>162352.46839551546</v>
      </c>
      <c r="F6" s="16">
        <v>1290396.3835970459</v>
      </c>
      <c r="G6" s="16">
        <v>0</v>
      </c>
      <c r="H6" s="16">
        <v>82304.45408824546</v>
      </c>
      <c r="I6" s="16">
        <v>45307.32195629186</v>
      </c>
      <c r="J6" s="16">
        <v>28701.178213632924</v>
      </c>
      <c r="K6" s="17">
        <f>SUM(B$3:B6)</f>
        <v>854242.06368210132</v>
      </c>
      <c r="L6" s="17">
        <f t="shared" si="1"/>
        <v>1016594.5320776168</v>
      </c>
      <c r="M6" s="17">
        <f t="shared" si="0"/>
        <v>903231.07473287289</v>
      </c>
      <c r="N6" s="17">
        <f>(F6*SUM(Costs!$F$4,Costs!$F$5)+G6*SUM(Costs!$F$4,Costs!$F$5,$W26)+H6*Costs!$F$7+I6*Costs!$F$7+J6*Costs!$F$7) /($Q$9^(A6-$A$3+1))</f>
        <v>288298801.02035046</v>
      </c>
      <c r="O6" s="17">
        <f>(F6*SUM(Costs!$F$4,Costs!$F$5)+G6*SUM(Costs!$F$4,Costs!$F$5,$W27)+H6*Costs!$F$7+I6*Costs!$F$7+J6*Costs!$F$7) /($Q$9^(A6-$A$3+1))</f>
        <v>288298801.02035046</v>
      </c>
      <c r="Q6" s="38">
        <v>500</v>
      </c>
    </row>
    <row r="7" spans="1:27" x14ac:dyDescent="0.25">
      <c r="A7" s="14">
        <v>2023</v>
      </c>
      <c r="B7" s="15">
        <v>215750.81876882323</v>
      </c>
      <c r="C7" s="16">
        <v>41269.894773034015</v>
      </c>
      <c r="D7" s="16">
        <v>71490.474693492361</v>
      </c>
      <c r="E7" s="16">
        <v>160355.58389154781</v>
      </c>
      <c r="F7" s="16">
        <v>1310914.7300104108</v>
      </c>
      <c r="G7" s="16">
        <v>0</v>
      </c>
      <c r="H7" s="16">
        <v>74689.109951153761</v>
      </c>
      <c r="I7" s="16">
        <v>41272.471484004564</v>
      </c>
      <c r="J7" s="16">
        <v>25961.826496460169</v>
      </c>
      <c r="K7" s="17">
        <f>SUM(B$3:B7)</f>
        <v>1069992.8824509245</v>
      </c>
      <c r="L7" s="17">
        <f t="shared" si="1"/>
        <v>1230348.4663424722</v>
      </c>
      <c r="M7" s="17">
        <f t="shared" si="0"/>
        <v>1061309.3949206006</v>
      </c>
      <c r="N7" s="17">
        <f>(F7*SUM(Costs!$F$4,Costs!$F$5)+G7*SUM(Costs!$F$4,Costs!$F$5,$W26)+H7*Costs!$F$7+I7*Costs!$F$7+J7*Costs!$F$7) /($Q$9^(A7-$A$3+1))</f>
        <v>282091632.61839819</v>
      </c>
      <c r="O7" s="17">
        <f>(F7*SUM(Costs!$F$4,Costs!$F$5)+G7*SUM(Costs!$F$4,Costs!$F$5,$W27)+H7*Costs!$F$7+I7*Costs!$F$7+J7*Costs!$F$7) /($Q$9^(A7-$A$3+1))</f>
        <v>282091632.61839819</v>
      </c>
      <c r="R7" s="20"/>
    </row>
    <row r="8" spans="1:27" x14ac:dyDescent="0.25">
      <c r="A8" s="14">
        <v>2024</v>
      </c>
      <c r="B8" s="15">
        <v>217463.7203236607</v>
      </c>
      <c r="C8" s="16">
        <v>39545.284196412744</v>
      </c>
      <c r="D8" s="16">
        <v>69134.733384881969</v>
      </c>
      <c r="E8" s="16">
        <v>158240.99232991025</v>
      </c>
      <c r="F8" s="16">
        <v>1329710.9423991751</v>
      </c>
      <c r="G8" s="16">
        <v>0</v>
      </c>
      <c r="H8" s="16">
        <v>66740.897126737706</v>
      </c>
      <c r="I8" s="16">
        <v>37252.446314017958</v>
      </c>
      <c r="J8" s="16">
        <v>23299.398026637267</v>
      </c>
      <c r="K8" s="17">
        <f>SUM(B$3:B8)</f>
        <v>1287456.6027745851</v>
      </c>
      <c r="L8" s="17">
        <f t="shared" si="1"/>
        <v>1445697.5951044953</v>
      </c>
      <c r="M8" s="17">
        <f t="shared" si="0"/>
        <v>1210748.975825435</v>
      </c>
      <c r="N8" s="17">
        <f>(F8*SUM(Costs!$F$4,Costs!$F$5)+G8*SUM(Costs!$F$4,Costs!$F$5,$W26)+H8*Costs!$F$7+I8*Costs!$F$7+J8*Costs!$F$7) /($Q$9^(A8-$A$3+1))</f>
        <v>275634573.67224181</v>
      </c>
      <c r="O8" s="17">
        <f>(F8*SUM(Costs!$F$4,Costs!$F$5)+G8*SUM(Costs!$F$4,Costs!$F$5,$W27)+H8*Costs!$F$7+I8*Costs!$F$7+J8*Costs!$F$7) /($Q$9^(A8-$A$3+1))</f>
        <v>275634573.67224181</v>
      </c>
      <c r="Q8" s="13" t="s">
        <v>6</v>
      </c>
    </row>
    <row r="9" spans="1:27" x14ac:dyDescent="0.25">
      <c r="A9" s="14">
        <v>2025</v>
      </c>
      <c r="B9" s="15">
        <v>219939.781120937</v>
      </c>
      <c r="C9" s="16">
        <v>38519.52020594653</v>
      </c>
      <c r="D9" s="16">
        <v>67689.809116459393</v>
      </c>
      <c r="E9" s="16">
        <v>156793.25828047903</v>
      </c>
      <c r="F9" s="16">
        <v>1339329.4947342828</v>
      </c>
      <c r="G9" s="16">
        <v>0</v>
      </c>
      <c r="H9" s="16">
        <v>62957.621521625202</v>
      </c>
      <c r="I9" s="16">
        <v>35184.48876076904</v>
      </c>
      <c r="J9" s="16">
        <v>21785.427788824796</v>
      </c>
      <c r="K9" s="17">
        <f>SUM(B$3:B9)</f>
        <v>1507396.3838955222</v>
      </c>
      <c r="L9" s="17">
        <f t="shared" si="1"/>
        <v>1664189.6421760013</v>
      </c>
      <c r="M9" s="17">
        <f t="shared" si="0"/>
        <v>1353138.47131884</v>
      </c>
      <c r="N9" s="17">
        <f>(F9*SUM(Costs!$F$4,Costs!$F$5)+G9*SUM(Costs!$F$4,Costs!$F$5,$W26)+H9*Costs!$F$7+I9*Costs!$F$7+J9*Costs!$F$7) /($Q$9^(A9-$A$3+1))</f>
        <v>268495766.37383032</v>
      </c>
      <c r="O9" s="17">
        <f>(F9*SUM(Costs!$F$4,Costs!$F$5)+G9*SUM(Costs!$F$4,Costs!$F$5,$W27)+H9*Costs!$F$7+I9*Costs!$F$7+J9*Costs!$F$7) /($Q$9^(A9-$A$3+1))</f>
        <v>268495766.37383032</v>
      </c>
      <c r="Q9" s="19">
        <v>1.03</v>
      </c>
    </row>
    <row r="10" spans="1:27" x14ac:dyDescent="0.25">
      <c r="A10" s="14">
        <v>2026</v>
      </c>
      <c r="B10" s="15">
        <v>223173.10540645564</v>
      </c>
      <c r="C10" s="16">
        <v>38197.026905594757</v>
      </c>
      <c r="D10" s="16">
        <v>67193.875118592914</v>
      </c>
      <c r="E10" s="16">
        <v>156014.6328248739</v>
      </c>
      <c r="F10" s="16">
        <v>1339998.0054647801</v>
      </c>
      <c r="G10" s="16">
        <v>0</v>
      </c>
      <c r="H10" s="16">
        <v>63536.535357257388</v>
      </c>
      <c r="I10" s="16">
        <v>35038.535322426833</v>
      </c>
      <c r="J10" s="16">
        <v>21356.856943385712</v>
      </c>
      <c r="K10" s="17">
        <f>SUM(B$3:B10)</f>
        <v>1730569.4893019779</v>
      </c>
      <c r="L10" s="17">
        <f t="shared" si="1"/>
        <v>1886584.1221268517</v>
      </c>
      <c r="M10" s="17">
        <f t="shared" si="0"/>
        <v>1489286.9273169867</v>
      </c>
      <c r="N10" s="17">
        <f>(F10*SUM(Costs!$F$4,Costs!$F$5)+G10*SUM(Costs!$F$4,Costs!$F$5,$W26)+H10*Costs!$F$7+I10*Costs!$F$7+J10*Costs!$F$7) /($Q$9^(A10-$A$3+1))</f>
        <v>260798813.57164183</v>
      </c>
      <c r="O10" s="17">
        <f>(F10*SUM(Costs!$F$4,Costs!$F$5)+G10*SUM(Costs!$F$4,Costs!$F$5,$W27)+H10*Costs!$F$7+I10*Costs!$F$7+J10*Costs!$F$7) /($Q$9^(A10-$A$3+1))</f>
        <v>260798813.57164183</v>
      </c>
    </row>
    <row r="11" spans="1:27" x14ac:dyDescent="0.25">
      <c r="A11" s="14">
        <v>2027</v>
      </c>
      <c r="B11" s="15">
        <v>226443.70633446623</v>
      </c>
      <c r="C11" s="16">
        <v>37863.461935098021</v>
      </c>
      <c r="D11" s="16">
        <v>66703.576315808285</v>
      </c>
      <c r="E11" s="16">
        <v>155125.39906704545</v>
      </c>
      <c r="F11" s="16">
        <v>1339276.0172382779</v>
      </c>
      <c r="G11" s="16">
        <v>0</v>
      </c>
      <c r="H11" s="16">
        <v>64103.138773265935</v>
      </c>
      <c r="I11" s="16">
        <v>34866.520505671368</v>
      </c>
      <c r="J11" s="16">
        <v>20914.610666034889</v>
      </c>
      <c r="K11" s="17">
        <f>SUM(B$3:B11)</f>
        <v>1957013.1956364443</v>
      </c>
      <c r="L11" s="17">
        <f t="shared" si="1"/>
        <v>2112138.5947034899</v>
      </c>
      <c r="M11" s="17">
        <f t="shared" si="0"/>
        <v>1618778.3600095089</v>
      </c>
      <c r="N11" s="17">
        <f>(F11*SUM(Costs!$F$4,Costs!$F$5)+G11*SUM(Costs!$F$4,Costs!$F$5,$W26)+H11*Costs!$F$7+I11*Costs!$F$7+J11*Costs!$F$7) /($Q$9^(A11-$A$3+1))</f>
        <v>253068325.4539623</v>
      </c>
      <c r="O11" s="17">
        <f>(F11*SUM(Costs!$F$4,Costs!$F$5)+G11*SUM(Costs!$F$4,Costs!$F$5,$W27)+H11*Costs!$F$7+I11*Costs!$F$7+J11*Costs!$F$7) /($Q$9^(A11-$A$3+1))</f>
        <v>253068325.4539623</v>
      </c>
    </row>
    <row r="12" spans="1:27" s="27" customFormat="1" x14ac:dyDescent="0.25">
      <c r="A12" s="23">
        <v>2028</v>
      </c>
      <c r="B12" s="24">
        <v>229748.08853853354</v>
      </c>
      <c r="C12" s="25">
        <v>37518.404674751473</v>
      </c>
      <c r="D12" s="25">
        <v>66222.794759022363</v>
      </c>
      <c r="E12" s="25">
        <v>154133.30320400005</v>
      </c>
      <c r="F12" s="25">
        <v>1337233.4187795841</v>
      </c>
      <c r="G12" s="25">
        <v>0</v>
      </c>
      <c r="H12" s="25">
        <v>64644.972379692481</v>
      </c>
      <c r="I12" s="25">
        <v>34672.52619444314</v>
      </c>
      <c r="J12" s="25">
        <v>20461.458460843682</v>
      </c>
      <c r="K12" s="26">
        <f>SUM(B$3:B12)</f>
        <v>2186761.2841749778</v>
      </c>
      <c r="L12" s="26">
        <f t="shared" si="1"/>
        <v>2340894.5873789778</v>
      </c>
      <c r="M12" s="26">
        <f t="shared" si="0"/>
        <v>1741845.4178833778</v>
      </c>
      <c r="N12" s="26">
        <f>(F12*SUM(Costs!$F$4,Costs!$F$5)+G12*SUM(Costs!$F$4,Costs!$F$5,$W26)+H12*Costs!$F$7+I12*Costs!$F$7+J12*Costs!$F$7) /($Q$9^(A12-$A$3+1))</f>
        <v>245331637.28303689</v>
      </c>
      <c r="O12" s="26">
        <f>(F12*SUM(Costs!$F$4,Costs!$F$5)+G12*SUM(Costs!$F$4,Costs!$F$5,$W27)+H12*Costs!$F$7+I12*Costs!$F$7+J12*Costs!$F$7) /($Q$9^(A12-$A$3+1))</f>
        <v>245331637.28303689</v>
      </c>
      <c r="V12" s="28"/>
    </row>
    <row r="13" spans="1:27" x14ac:dyDescent="0.25">
      <c r="A13" s="12" t="s">
        <v>0</v>
      </c>
      <c r="B13" s="6">
        <f>SUM(B3:B12)</f>
        <v>2186761.2841749778</v>
      </c>
      <c r="C13" s="6">
        <f>SUM(C3:C12)</f>
        <v>421956.11877863668</v>
      </c>
      <c r="D13" s="6">
        <f t="shared" ref="D13:O13" si="2">SUM(D3:D12)</f>
        <v>726305.49220413738</v>
      </c>
      <c r="E13" s="6">
        <f t="shared" si="2"/>
        <v>1609148.972362818</v>
      </c>
      <c r="F13" s="6">
        <f t="shared" si="2"/>
        <v>12944953.046457438</v>
      </c>
      <c r="G13" s="6">
        <f t="shared" si="2"/>
        <v>0</v>
      </c>
      <c r="H13" s="6">
        <f t="shared" si="2"/>
        <v>807365.70063079882</v>
      </c>
      <c r="I13" s="6">
        <f t="shared" si="2"/>
        <v>443894.66214254184</v>
      </c>
      <c r="J13" s="6">
        <f t="shared" si="2"/>
        <v>277807.38898882759</v>
      </c>
      <c r="K13" s="6">
        <f t="shared" si="2"/>
        <v>11874334.551445492</v>
      </c>
      <c r="L13" s="6">
        <f t="shared" si="2"/>
        <v>13483483.523808308</v>
      </c>
      <c r="M13" s="6">
        <f t="shared" si="2"/>
        <v>11051612.629560715</v>
      </c>
      <c r="N13" s="6">
        <f t="shared" si="2"/>
        <v>2767235501.6392736</v>
      </c>
      <c r="O13" s="6">
        <f t="shared" si="2"/>
        <v>2767235501.6392736</v>
      </c>
      <c r="V13" s="18"/>
    </row>
    <row r="15" spans="1:27" ht="15" x14ac:dyDescent="0.4">
      <c r="B15" s="7" t="s">
        <v>67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211457.33571496807</v>
      </c>
      <c r="C17" s="16">
        <v>49863.127978159071</v>
      </c>
      <c r="D17" s="16">
        <v>82421.658459356171</v>
      </c>
      <c r="E17" s="16">
        <v>169502.5885115751</v>
      </c>
      <c r="F17" s="16">
        <v>1060019.2520627992</v>
      </c>
      <c r="G17" s="16">
        <v>114584.71710476764</v>
      </c>
      <c r="H17" s="16">
        <v>126064.20591578468</v>
      </c>
      <c r="I17" s="16">
        <v>69533.974786152583</v>
      </c>
      <c r="J17" s="16">
        <v>44656.170690671664</v>
      </c>
      <c r="K17" s="17">
        <f>SUM(B$17:B17)</f>
        <v>211457.33571496807</v>
      </c>
      <c r="L17" s="17">
        <f>SUM(E17,K17)</f>
        <v>380959.92422654317</v>
      </c>
      <c r="M17" s="17">
        <f t="shared" ref="M17:M26" si="3">L17/($Q$9^(A17-$A$3+1))</f>
        <v>369864.00410343998</v>
      </c>
      <c r="N17" s="17">
        <f>(F17*SUM(Costs!$F$4,Costs!$F$5)+G17*SUM(Costs!$F$4,Costs!$F$5,$W26)+H17*Costs!$F$7+I17*Costs!$F$7+J17*Costs!$F$7) /($Q$9^(A17-$A$3+1))</f>
        <v>311219017.74737895</v>
      </c>
      <c r="O17" s="17">
        <f>(F17*SUM(Costs!$F$4,Costs!$F$5)+G17*SUM(Costs!$F$4,Costs!$F$5,$W27)+H17*Costs!$F$7+I17*Costs!$F$7+J17*Costs!$F$7) /($Q$9^(A17-$A$3+1))</f>
        <v>327335016.8248446</v>
      </c>
      <c r="Q17" s="32">
        <f>M$3-M17</f>
        <v>5312.1986492239521</v>
      </c>
      <c r="R17" s="27">
        <f>B$3-B17</f>
        <v>2359.7910384937422</v>
      </c>
      <c r="S17" s="27">
        <f>D$3-D17</f>
        <v>3553.4383942045242</v>
      </c>
      <c r="T17" s="27"/>
      <c r="U17" s="33"/>
      <c r="W17" s="55"/>
    </row>
    <row r="18" spans="1:26" x14ac:dyDescent="0.25">
      <c r="A18" s="14">
        <v>2020</v>
      </c>
      <c r="B18" s="15">
        <v>210773.74472710444</v>
      </c>
      <c r="C18" s="16">
        <v>46111.717573266396</v>
      </c>
      <c r="D18" s="16">
        <v>77374.866551629428</v>
      </c>
      <c r="E18" s="16">
        <v>165313.55651930231</v>
      </c>
      <c r="F18" s="16">
        <v>1106759.8072453146</v>
      </c>
      <c r="G18" s="16">
        <v>114204.32754550912</v>
      </c>
      <c r="H18" s="16">
        <v>107987.14731226872</v>
      </c>
      <c r="I18" s="16">
        <v>59395.336572869208</v>
      </c>
      <c r="J18" s="16">
        <v>37981.274520800602</v>
      </c>
      <c r="K18" s="17">
        <f>SUM(B$17:B18)</f>
        <v>422231.08044207247</v>
      </c>
      <c r="L18" s="17">
        <f>SUM(E18,K18)</f>
        <v>587544.63696137478</v>
      </c>
      <c r="M18" s="17">
        <f t="shared" si="3"/>
        <v>553817.17123326869</v>
      </c>
      <c r="N18" s="17">
        <f>(F18*SUM(Costs!$F$4,Costs!$F$5)+G18*SUM(Costs!$F$4,Costs!$F$5,$W26)+H18*Costs!$F$7+I18*Costs!$F$7+J18*Costs!$F$7) /($Q$9^(A18-$A$3+1))</f>
        <v>307181766.63541514</v>
      </c>
      <c r="O18" s="17">
        <f>(F18*SUM(Costs!$F$4,Costs!$F$5)+G18*SUM(Costs!$F$4,Costs!$F$5,$W27)+H18*Costs!$F$7+I18*Costs!$F$7+J18*Costs!$F$7) /($Q$9^(A18-$A$3+1))</f>
        <v>322776425.29488522</v>
      </c>
      <c r="Q18" s="32">
        <f>M$4-M18</f>
        <v>7405.2148854089901</v>
      </c>
      <c r="R18" s="27">
        <f>B$4-B18</f>
        <v>2345.1998107502295</v>
      </c>
      <c r="S18" s="27">
        <f>D$4-D18</f>
        <v>3704.6093115573312</v>
      </c>
      <c r="T18" s="27"/>
      <c r="U18" s="33"/>
    </row>
    <row r="19" spans="1:26" x14ac:dyDescent="0.25">
      <c r="A19" s="14">
        <v>2021</v>
      </c>
      <c r="B19" s="15">
        <v>210904.34794459617</v>
      </c>
      <c r="C19" s="16">
        <v>43055.765742961761</v>
      </c>
      <c r="D19" s="16">
        <v>73217.449465154583</v>
      </c>
      <c r="E19" s="16">
        <v>161875.20775166634</v>
      </c>
      <c r="F19" s="16">
        <v>1145724.8842750357</v>
      </c>
      <c r="G19" s="16">
        <v>112689.76469736033</v>
      </c>
      <c r="H19" s="16">
        <v>92923.886188301229</v>
      </c>
      <c r="I19" s="16">
        <v>51316.8931591008</v>
      </c>
      <c r="J19" s="16">
        <v>32693.258792847701</v>
      </c>
      <c r="K19" s="17">
        <f>SUM(B$17:B19)</f>
        <v>633135.42838666867</v>
      </c>
      <c r="L19" s="17">
        <f t="shared" ref="L19:L26" si="4">SUM(E19,K19)</f>
        <v>795010.63613833499</v>
      </c>
      <c r="M19" s="17">
        <f t="shared" si="3"/>
        <v>727547.35275904683</v>
      </c>
      <c r="N19" s="17">
        <f>(F19*SUM(Costs!$F$4,Costs!$F$5)+G19*SUM(Costs!$F$4,Costs!$F$5,$W26)+H19*Costs!$F$7+I19*Costs!$F$7+J19*Costs!$F$7) /($Q$9^(A19-$A$3+1))</f>
        <v>302046711.35303915</v>
      </c>
      <c r="O19" s="17">
        <f>(F19*SUM(Costs!$F$4,Costs!$F$5)+G19*SUM(Costs!$F$4,Costs!$F$5,$W27)+H19*Costs!$F$7+I19*Costs!$F$7+J19*Costs!$F$7) /($Q$9^(A19-$A$3+1))</f>
        <v>316986366.04906446</v>
      </c>
      <c r="Q19" s="32">
        <f>M$5-M19</f>
        <v>9328.0659227053402</v>
      </c>
      <c r="R19" s="27">
        <f>B$5-B19</f>
        <v>2309.0322482666816</v>
      </c>
      <c r="S19" s="27">
        <f>D$5-D19</f>
        <v>3795.9670323483442</v>
      </c>
      <c r="T19" s="27"/>
      <c r="U19" s="33"/>
    </row>
    <row r="20" spans="1:26" x14ac:dyDescent="0.25">
      <c r="A20" s="14">
        <v>2022</v>
      </c>
      <c r="B20" s="15">
        <v>211838.02107891729</v>
      </c>
      <c r="C20" s="16">
        <v>40701.442868936429</v>
      </c>
      <c r="D20" s="16">
        <v>69936.119527490024</v>
      </c>
      <c r="E20" s="16">
        <v>159152.14485458046</v>
      </c>
      <c r="F20" s="16">
        <v>1176490.7026963562</v>
      </c>
      <c r="G20" s="16">
        <v>110204.51850856886</v>
      </c>
      <c r="H20" s="16">
        <v>81314.295387218153</v>
      </c>
      <c r="I20" s="16">
        <v>45262.360260918038</v>
      </c>
      <c r="J20" s="16">
        <v>28714.337887098769</v>
      </c>
      <c r="K20" s="17">
        <f>SUM(B$17:B20)</f>
        <v>844973.44946558599</v>
      </c>
      <c r="L20" s="17">
        <f t="shared" si="4"/>
        <v>1004125.5943201664</v>
      </c>
      <c r="M20" s="17">
        <f t="shared" si="3"/>
        <v>892152.5850341114</v>
      </c>
      <c r="N20" s="17">
        <f>(F20*SUM(Costs!$F$4,Costs!$F$5)+G20*SUM(Costs!$F$4,Costs!$F$5,$W26)+H20*Costs!$F$7+I20*Costs!$F$7+J20*Costs!$F$7) /($Q$9^(A20-$A$3+1))</f>
        <v>295916161.1129905</v>
      </c>
      <c r="O20" s="17">
        <f>(F20*SUM(Costs!$F$4,Costs!$F$5)+G20*SUM(Costs!$F$4,Costs!$F$5,$W27)+H20*Costs!$F$7+I20*Costs!$F$7+J20*Costs!$F$7) /($Q$9^(A20-$A$3+1))</f>
        <v>310100799.35738003</v>
      </c>
      <c r="Q20" s="32">
        <f>M$6-M20</f>
        <v>11078.489698761492</v>
      </c>
      <c r="R20" s="27">
        <f>B$6-B20</f>
        <v>2254.5911190047045</v>
      </c>
      <c r="S20" s="27">
        <f>D$6-D20</f>
        <v>3866.1200741398643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213564.19043717629</v>
      </c>
      <c r="C21" s="16">
        <v>39054.85940261306</v>
      </c>
      <c r="D21" s="16">
        <v>67569.899509362149</v>
      </c>
      <c r="E21" s="16">
        <v>157135.26893446365</v>
      </c>
      <c r="F21" s="16">
        <v>1198884.211332985</v>
      </c>
      <c r="G21" s="16">
        <v>106927.43553515301</v>
      </c>
      <c r="H21" s="16">
        <v>73496.669466834501</v>
      </c>
      <c r="I21" s="16">
        <v>41206.221339182426</v>
      </c>
      <c r="J21" s="16">
        <v>25982.333389484811</v>
      </c>
      <c r="K21" s="17">
        <f>SUM(B$17:B21)</f>
        <v>1058537.6399027624</v>
      </c>
      <c r="L21" s="17">
        <f t="shared" si="4"/>
        <v>1215672.908837226</v>
      </c>
      <c r="M21" s="17">
        <f t="shared" si="3"/>
        <v>1048650.1301008402</v>
      </c>
      <c r="N21" s="17">
        <f>(F21*SUM(Costs!$F$4,Costs!$F$5)+G21*SUM(Costs!$F$4,Costs!$F$5,$W26)+H21*Costs!$F$7+I21*Costs!$F$7+J21*Costs!$F$7) /($Q$9^(A21-$A$3+1))</f>
        <v>288930745.32189268</v>
      </c>
      <c r="O21" s="17">
        <f>(F21*SUM(Costs!$F$4,Costs!$F$5)+G21*SUM(Costs!$F$4,Costs!$F$5,$W27)+H21*Costs!$F$7+I21*Costs!$F$7+J21*Costs!$F$7) /($Q$9^(A21-$A$3+1))</f>
        <v>302292724.4592306</v>
      </c>
      <c r="Q21" s="32">
        <f>M$7-M21</f>
        <v>12659.264819760341</v>
      </c>
      <c r="R21" s="27">
        <f>B$7-B21</f>
        <v>2186.6283316469344</v>
      </c>
      <c r="S21" s="27">
        <f>D$7-D21</f>
        <v>3920.5751841302117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215345.28454887055</v>
      </c>
      <c r="C22" s="16">
        <v>37389.601108431736</v>
      </c>
      <c r="D22" s="16">
        <v>65158.187129992271</v>
      </c>
      <c r="E22" s="16">
        <v>154986.11295625806</v>
      </c>
      <c r="F22" s="16">
        <v>1219494.4357141997</v>
      </c>
      <c r="G22" s="16">
        <v>103565.91802983277</v>
      </c>
      <c r="H22" s="16">
        <v>65383.304683372407</v>
      </c>
      <c r="I22" s="16">
        <v>37164.304476786121</v>
      </c>
      <c r="J22" s="16">
        <v>23328.332822441578</v>
      </c>
      <c r="K22" s="17">
        <f>SUM(B$17:B22)</f>
        <v>1273882.9244516329</v>
      </c>
      <c r="L22" s="17">
        <f t="shared" si="4"/>
        <v>1428869.0374078909</v>
      </c>
      <c r="M22" s="17">
        <f t="shared" si="3"/>
        <v>1196655.3236918363</v>
      </c>
      <c r="N22" s="17">
        <f>(F22*SUM(Costs!$F$4,Costs!$F$5)+G22*SUM(Costs!$F$4,Costs!$F$5,$W26)+H22*Costs!$F$7+I22*Costs!$F$7+J22*Costs!$F$7) /($Q$9^(A22-$A$3+1))</f>
        <v>281704682.42927098</v>
      </c>
      <c r="O22" s="17">
        <f>(F22*SUM(Costs!$F$4,Costs!$F$5)+G22*SUM(Costs!$F$4,Costs!$F$5,$W27)+H22*Costs!$F$7+I22*Costs!$F$7+J22*Costs!$F$7) /($Q$9^(A22-$A$3+1))</f>
        <v>294269647.12477046</v>
      </c>
      <c r="Q22" s="32">
        <f>M$8-M22</f>
        <v>14093.652133598691</v>
      </c>
      <c r="R22" s="27">
        <f>B$8-B22</f>
        <v>2118.4357747901522</v>
      </c>
      <c r="S22" s="27">
        <f>D$8-D22</f>
        <v>3976.5462548896976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217895.42048749165</v>
      </c>
      <c r="C23" s="16">
        <v>36428.525385469518</v>
      </c>
      <c r="D23" s="16">
        <v>63666.462629368587</v>
      </c>
      <c r="E23" s="16">
        <v>153497.15042180079</v>
      </c>
      <c r="F23" s="16">
        <v>1231421.3108330749</v>
      </c>
      <c r="G23" s="16">
        <v>99611.206624840008</v>
      </c>
      <c r="H23" s="16">
        <v>61445.917950291943</v>
      </c>
      <c r="I23" s="16">
        <v>35060.77505786861</v>
      </c>
      <c r="J23" s="16">
        <v>21817.757293181065</v>
      </c>
      <c r="K23" s="17">
        <f>SUM(B$17:B23)</f>
        <v>1491778.3449391245</v>
      </c>
      <c r="L23" s="17">
        <f t="shared" si="4"/>
        <v>1645275.4953609253</v>
      </c>
      <c r="M23" s="17">
        <f t="shared" si="3"/>
        <v>1337759.5390991997</v>
      </c>
      <c r="N23" s="17">
        <f>(F23*SUM(Costs!$F$4,Costs!$F$5)+G23*SUM(Costs!$F$4,Costs!$F$5,$W26)+H23*Costs!$F$7+I23*Costs!$F$7+J23*Costs!$F$7) /($Q$9^(A23-$A$3+1))</f>
        <v>273774206.23869717</v>
      </c>
      <c r="O23" s="17">
        <f>(F23*SUM(Costs!$F$4,Costs!$F$5)+G23*SUM(Costs!$F$4,Costs!$F$5,$W27)+H23*Costs!$F$7+I23*Costs!$F$7+J23*Costs!$F$7) /($Q$9^(A23-$A$3+1))</f>
        <v>285507376.95484555</v>
      </c>
      <c r="Q23" s="32">
        <f>M$9-M23</f>
        <v>15378.932219640352</v>
      </c>
      <c r="R23" s="27">
        <f>B$9-B23</f>
        <v>2044.3606334453507</v>
      </c>
      <c r="S23" s="27">
        <f>D$9-D23</f>
        <v>4023.3464870908065</v>
      </c>
      <c r="T23" s="27"/>
      <c r="U23" s="33"/>
    </row>
    <row r="24" spans="1:26" ht="13.8" thickBot="1" x14ac:dyDescent="0.3">
      <c r="A24" s="14">
        <v>2026</v>
      </c>
      <c r="B24" s="15">
        <v>221203.9181917519</v>
      </c>
      <c r="C24" s="16">
        <v>36171.391380278372</v>
      </c>
      <c r="D24" s="16">
        <v>63123.357662598421</v>
      </c>
      <c r="E24" s="16">
        <v>152664.91234760487</v>
      </c>
      <c r="F24" s="16">
        <v>1234756.8064782638</v>
      </c>
      <c r="G24" s="16">
        <v>95223.837084576677</v>
      </c>
      <c r="H24" s="16">
        <v>61871.847518400697</v>
      </c>
      <c r="I24" s="16">
        <v>34857.371640926307</v>
      </c>
      <c r="J24" s="16">
        <v>21384.232196506844</v>
      </c>
      <c r="K24" s="17">
        <f>SUM(B$17:B24)</f>
        <v>1712982.2631308765</v>
      </c>
      <c r="L24" s="17">
        <f t="shared" si="4"/>
        <v>1865647.1754784812</v>
      </c>
      <c r="M24" s="17">
        <f t="shared" si="3"/>
        <v>1472759.1082944248</v>
      </c>
      <c r="N24" s="17">
        <f>(F24*SUM(Costs!$F$4,Costs!$F$5)+G24*SUM(Costs!$F$4,Costs!$F$5,$W26)+H24*Costs!$F$7+I24*Costs!$F$7+J24*Costs!$F$7) /($Q$9^(A24-$A$3+1))</f>
        <v>265279663.23548371</v>
      </c>
      <c r="O24" s="17">
        <f>(F24*SUM(Costs!$F$4,Costs!$F$5)+G24*SUM(Costs!$F$4,Costs!$F$5,$W27)+H24*Costs!$F$7+I24*Costs!$F$7+J24*Costs!$F$7) /($Q$9^(A24-$A$3+1))</f>
        <v>276169356.36677903</v>
      </c>
      <c r="Q24" s="32">
        <f>M$10-M24</f>
        <v>16527.819022561889</v>
      </c>
      <c r="R24" s="27">
        <f>B$10-B24</f>
        <v>1969.1872147037357</v>
      </c>
      <c r="S24" s="27">
        <f>D$10-D24</f>
        <v>4070.5174559944935</v>
      </c>
      <c r="T24" s="27"/>
      <c r="U24" s="33"/>
    </row>
    <row r="25" spans="1:26" x14ac:dyDescent="0.25">
      <c r="A25" s="14">
        <v>2027</v>
      </c>
      <c r="B25" s="15">
        <v>224541.77448803841</v>
      </c>
      <c r="C25" s="16">
        <v>35894.922980849828</v>
      </c>
      <c r="D25" s="16">
        <v>62569.57015639748</v>
      </c>
      <c r="E25" s="16">
        <v>151698.95052428037</v>
      </c>
      <c r="F25" s="16">
        <v>1236412.2983511703</v>
      </c>
      <c r="G25" s="16">
        <v>91014.045025795698</v>
      </c>
      <c r="H25" s="16">
        <v>62303.518021606949</v>
      </c>
      <c r="I25" s="16">
        <v>34618.34428759497</v>
      </c>
      <c r="J25" s="16">
        <v>20932.693468961352</v>
      </c>
      <c r="K25" s="17">
        <f>SUM(B$17:B25)</f>
        <v>1937524.0376189149</v>
      </c>
      <c r="L25" s="17">
        <f t="shared" si="4"/>
        <v>2089222.9881431952</v>
      </c>
      <c r="M25" s="17">
        <f t="shared" si="3"/>
        <v>1601215.4557098956</v>
      </c>
      <c r="N25" s="17">
        <f>(F25*SUM(Costs!$F$4,Costs!$F$5)+G25*SUM(Costs!$F$4,Costs!$F$5,$W26)+H25*Costs!$F$7+I25*Costs!$F$7+J25*Costs!$F$7) /($Q$9^(A25-$A$3+1))</f>
        <v>256785952.77510807</v>
      </c>
      <c r="O25" s="17">
        <f>(F25*SUM(Costs!$F$4,Costs!$F$5)+G25*SUM(Costs!$F$4,Costs!$F$5,$W27)+H25*Costs!$F$7+I25*Costs!$F$7+J25*Costs!$F$7) /($Q$9^(A25-$A$3+1))</f>
        <v>266891065.34601769</v>
      </c>
      <c r="Q25" s="32">
        <f>M$11-M25</f>
        <v>17562.904299613321</v>
      </c>
      <c r="R25" s="27">
        <f>B$11-B25</f>
        <v>1901.9318464278185</v>
      </c>
      <c r="S25" s="27">
        <f>D$11-D25</f>
        <v>4134.0061594108047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227905.02820222639</v>
      </c>
      <c r="C26" s="25">
        <v>35598.287980362264</v>
      </c>
      <c r="D26" s="25">
        <v>62008.649802307817</v>
      </c>
      <c r="E26" s="25">
        <v>150606.9179752733</v>
      </c>
      <c r="F26" s="25">
        <v>1236449.089774926</v>
      </c>
      <c r="G26" s="25">
        <v>86985.693008057162</v>
      </c>
      <c r="H26" s="25">
        <v>62724.557641828258</v>
      </c>
      <c r="I26" s="25">
        <v>34349.318487282653</v>
      </c>
      <c r="J26" s="25">
        <v>20465.633987523353</v>
      </c>
      <c r="K26" s="26">
        <f>SUM(B$17:B26)</f>
        <v>2165429.065821141</v>
      </c>
      <c r="L26" s="26">
        <f t="shared" si="4"/>
        <v>2316035.9837964145</v>
      </c>
      <c r="M26" s="26">
        <f t="shared" si="3"/>
        <v>1723348.2822247625</v>
      </c>
      <c r="N26" s="26">
        <f>(F26*SUM(Costs!$F$4,Costs!$F$5)+G26*SUM(Costs!$F$4,Costs!$F$5,$W26)+H26*Costs!$F$7+I26*Costs!$F$7+J26*Costs!$F$7) /($Q$9^(A26-$A$3+1))</f>
        <v>248318433.44494182</v>
      </c>
      <c r="O26" s="26">
        <f>(F26*SUM(Costs!$F$4,Costs!$F$5)+G26*SUM(Costs!$F$4,Costs!$F$5,$W27)+H26*Costs!$F$7+I26*Costs!$F$7+J26*Costs!$F$7) /($Q$9^(A26-$A$3+1))</f>
        <v>257694989.24476978</v>
      </c>
      <c r="Q26" s="35">
        <f>M$12-M26</f>
        <v>18497.135658615269</v>
      </c>
      <c r="R26" s="27">
        <f>B$12-B26</f>
        <v>1843.0603363071568</v>
      </c>
      <c r="S26" s="27">
        <f>D$12-D26</f>
        <v>4214.1449567145464</v>
      </c>
      <c r="T26" s="42"/>
      <c r="U26" s="36"/>
      <c r="W26" s="43">
        <v>87.048954828577564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2165429.065821141</v>
      </c>
      <c r="C27" s="6">
        <f>SUM(C17:C26)</f>
        <v>400269.64240132843</v>
      </c>
      <c r="D27" s="6">
        <f t="shared" si="5"/>
        <v>687046.22089365707</v>
      </c>
      <c r="E27" s="6">
        <f t="shared" si="5"/>
        <v>1576432.810796805</v>
      </c>
      <c r="F27" s="6">
        <f t="shared" si="5"/>
        <v>11846412.798764126</v>
      </c>
      <c r="G27" s="6">
        <f t="shared" si="5"/>
        <v>1035011.4631644614</v>
      </c>
      <c r="H27" s="6">
        <f t="shared" si="5"/>
        <v>795515.35008590762</v>
      </c>
      <c r="I27" s="6">
        <f t="shared" si="5"/>
        <v>442764.90006868169</v>
      </c>
      <c r="J27" s="6">
        <f t="shared" si="5"/>
        <v>277956.02504951775</v>
      </c>
      <c r="K27" s="6">
        <f t="shared" si="5"/>
        <v>11751931.569873746</v>
      </c>
      <c r="L27" s="6">
        <f t="shared" si="5"/>
        <v>13328364.380670551</v>
      </c>
      <c r="M27" s="6">
        <f t="shared" si="5"/>
        <v>10923768.952250827</v>
      </c>
      <c r="N27" s="6">
        <f t="shared" si="5"/>
        <v>2831157340.2942181</v>
      </c>
      <c r="O27" s="6">
        <f t="shared" si="5"/>
        <v>2960023767.0225868</v>
      </c>
      <c r="Q27" s="6">
        <f>SUM(Q17:Q26)</f>
        <v>127843.67730988964</v>
      </c>
      <c r="R27" s="37">
        <f>SUM(R17:R26)</f>
        <v>21332.218353836506</v>
      </c>
      <c r="S27" s="37">
        <f>SUM(S17:S26)</f>
        <v>39259.271310480624</v>
      </c>
      <c r="T27" s="18">
        <f>(N27-N$13)/Q27</f>
        <v>499.99999999999687</v>
      </c>
      <c r="U27" s="18">
        <f>(O27-O$13)/Q27</f>
        <v>1507.9999999999968</v>
      </c>
      <c r="W27" s="44">
        <v>231.91538613993941</v>
      </c>
      <c r="X27" s="50">
        <f>$Q$3</f>
        <v>1508</v>
      </c>
      <c r="Y27" s="22" t="s">
        <v>61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7"/>
  <sheetViews>
    <sheetView zoomScale="90" zoomScaleNormal="90" workbookViewId="0">
      <pane xSplit="1" ySplit="2" topLeftCell="B3" activePane="bottomRight" state="frozen"/>
      <selection activeCell="U27" sqref="U27"/>
      <selection pane="topRight" activeCell="U27" sqref="U27"/>
      <selection pane="bottomLeft" activeCell="U27" sqref="U27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99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223141.4755293265</v>
      </c>
      <c r="C3" s="16">
        <v>61601.478783051731</v>
      </c>
      <c r="D3" s="16">
        <v>98820.832003476855</v>
      </c>
      <c r="E3" s="16">
        <v>184047.78926924299</v>
      </c>
      <c r="F3" s="16">
        <v>1084305.1476100176</v>
      </c>
      <c r="G3" s="16">
        <v>0</v>
      </c>
      <c r="H3" s="16">
        <v>178981.38547186303</v>
      </c>
      <c r="I3" s="16">
        <v>95971.29192501097</v>
      </c>
      <c r="J3" s="16">
        <v>60440.958219104563</v>
      </c>
      <c r="K3" s="17">
        <f>SUM(B$3:B3)</f>
        <v>223141.4755293265</v>
      </c>
      <c r="L3" s="17">
        <f>SUM(E3,K3)</f>
        <v>407189.26479856949</v>
      </c>
      <c r="M3" s="17">
        <f t="shared" ref="M3:M12" si="0">L3/($Q$9^(A3-$A$3+1))</f>
        <v>395329.383299582</v>
      </c>
      <c r="N3" s="17">
        <f>(F3*SUM(Costs!$F$4,Costs!$F$5)+G3*SUM(Costs!$F$4,Costs!$F$5,$W26)+H3*Costs!$F$7+I3*Costs!$F$7+J3*Costs!$F$7) /($Q$9^(A3-$A$3+1))</f>
        <v>295484960.12727809</v>
      </c>
      <c r="O3" s="17">
        <f>(F3*SUM(Costs!$F$4,Costs!$F$5)+G3*SUM(Costs!$F$4,Costs!$F$5,$W27)+H3*Costs!$F$7+I3*Costs!$F$7+J3*Costs!$F$7) /($Q$9^(A3-$A$3+1))</f>
        <v>295484960.12727809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226113.53597232283</v>
      </c>
      <c r="C4" s="16">
        <v>61562.839724559657</v>
      </c>
      <c r="D4" s="16">
        <v>99302.470440513294</v>
      </c>
      <c r="E4" s="16">
        <v>184436.19837337756</v>
      </c>
      <c r="F4" s="16">
        <v>1097601.3379910279</v>
      </c>
      <c r="G4" s="16">
        <v>0</v>
      </c>
      <c r="H4" s="16">
        <v>183746.66192741724</v>
      </c>
      <c r="I4" s="16">
        <v>96082.944672664569</v>
      </c>
      <c r="J4" s="16">
        <v>59455.472170297231</v>
      </c>
      <c r="K4" s="17">
        <f>SUM(B$3:B4)</f>
        <v>449255.01150164934</v>
      </c>
      <c r="L4" s="17">
        <f t="shared" ref="L4:L12" si="1">SUM(E4,K4)</f>
        <v>633691.20987502695</v>
      </c>
      <c r="M4" s="17">
        <f t="shared" si="0"/>
        <v>597314.7420822198</v>
      </c>
      <c r="N4" s="17">
        <f>(F4*SUM(Costs!$F$4,Costs!$F$5)+G4*SUM(Costs!$F$4,Costs!$F$5,$W26)+H4*Costs!$F$7+I4*Costs!$F$7+J4*Costs!$F$7) /($Q$9^(A4-$A$3+1))</f>
        <v>290364028.42947811</v>
      </c>
      <c r="O4" s="17">
        <f>(F4*SUM(Costs!$F$4,Costs!$F$5)+G4*SUM(Costs!$F$4,Costs!$F$5,$W27)+H4*Costs!$F$7+I4*Costs!$F$7+J4*Costs!$F$7) /($Q$9^(A4-$A$3+1))</f>
        <v>290364028.42947811</v>
      </c>
    </row>
    <row r="5" spans="1:27" x14ac:dyDescent="0.25">
      <c r="A5" s="14">
        <v>2021</v>
      </c>
      <c r="B5" s="15">
        <v>229208.82409149208</v>
      </c>
      <c r="C5" s="16">
        <v>61547.435182448491</v>
      </c>
      <c r="D5" s="16">
        <v>99896.536299387168</v>
      </c>
      <c r="E5" s="16">
        <v>184847.64051921444</v>
      </c>
      <c r="F5" s="16">
        <v>1110375.8348358416</v>
      </c>
      <c r="G5" s="16">
        <v>0</v>
      </c>
      <c r="H5" s="16">
        <v>188277.89340056901</v>
      </c>
      <c r="I5" s="16">
        <v>96335.289904565434</v>
      </c>
      <c r="J5" s="16">
        <v>58479.195983019323</v>
      </c>
      <c r="K5" s="17">
        <f>SUM(B$3:B5)</f>
        <v>678463.83559314138</v>
      </c>
      <c r="L5" s="17">
        <f t="shared" si="1"/>
        <v>863311.47611235583</v>
      </c>
      <c r="M5" s="17">
        <f t="shared" si="0"/>
        <v>790052.29678808688</v>
      </c>
      <c r="N5" s="17">
        <f>(F5*SUM(Costs!$F$4,Costs!$F$5)+G5*SUM(Costs!$F$4,Costs!$F$5,$W26)+H5*Costs!$F$7+I5*Costs!$F$7+J5*Costs!$F$7) /($Q$9^(A5-$A$3+1))</f>
        <v>285167702.77887887</v>
      </c>
      <c r="O5" s="17">
        <f>(F5*SUM(Costs!$F$4,Costs!$F$5)+G5*SUM(Costs!$F$4,Costs!$F$5,$W27)+H5*Costs!$F$7+I5*Costs!$F$7+J5*Costs!$F$7) /($Q$9^(A5-$A$3+1))</f>
        <v>285167702.77887887</v>
      </c>
      <c r="Q5" s="13" t="s">
        <v>21</v>
      </c>
    </row>
    <row r="6" spans="1:27" x14ac:dyDescent="0.25">
      <c r="A6" s="14">
        <v>2022</v>
      </c>
      <c r="B6" s="15">
        <v>232414.78007873686</v>
      </c>
      <c r="C6" s="16">
        <v>61558.228824044738</v>
      </c>
      <c r="D6" s="16">
        <v>100607.76398062252</v>
      </c>
      <c r="E6" s="16">
        <v>185298.93347164444</v>
      </c>
      <c r="F6" s="16">
        <v>1122701.8568275569</v>
      </c>
      <c r="G6" s="16">
        <v>0</v>
      </c>
      <c r="H6" s="16">
        <v>192571.89265321611</v>
      </c>
      <c r="I6" s="16">
        <v>96736.651340622731</v>
      </c>
      <c r="J6" s="16">
        <v>57523.461628196332</v>
      </c>
      <c r="K6" s="17">
        <f>SUM(B$3:B6)</f>
        <v>910878.61567187821</v>
      </c>
      <c r="L6" s="17">
        <f t="shared" si="1"/>
        <v>1096177.5491435227</v>
      </c>
      <c r="M6" s="17">
        <f t="shared" si="0"/>
        <v>973939.55462998361</v>
      </c>
      <c r="N6" s="17">
        <f>(F6*SUM(Costs!$F$4,Costs!$F$5)+G6*SUM(Costs!$F$4,Costs!$F$5,$W26)+H6*Costs!$F$7+I6*Costs!$F$7+J6*Costs!$F$7) /($Q$9^(A6-$A$3+1))</f>
        <v>279925709.75894189</v>
      </c>
      <c r="O6" s="17">
        <f>(F6*SUM(Costs!$F$4,Costs!$F$5)+G6*SUM(Costs!$F$4,Costs!$F$5,$W27)+H6*Costs!$F$7+I6*Costs!$F$7+J6*Costs!$F$7) /($Q$9^(A6-$A$3+1))</f>
        <v>279925709.75894189</v>
      </c>
      <c r="Q6" s="38">
        <v>500</v>
      </c>
    </row>
    <row r="7" spans="1:27" x14ac:dyDescent="0.25">
      <c r="A7" s="14">
        <v>2023</v>
      </c>
      <c r="B7" s="15">
        <v>235722.63852551006</v>
      </c>
      <c r="C7" s="16">
        <v>61598.683560626145</v>
      </c>
      <c r="D7" s="16">
        <v>101435.40410421441</v>
      </c>
      <c r="E7" s="16">
        <v>185803.98992214986</v>
      </c>
      <c r="F7" s="16">
        <v>1134653.9082819817</v>
      </c>
      <c r="G7" s="16">
        <v>0</v>
      </c>
      <c r="H7" s="16">
        <v>196634.8847134168</v>
      </c>
      <c r="I7" s="16">
        <v>97286.425967911739</v>
      </c>
      <c r="J7" s="16">
        <v>56599.279356200634</v>
      </c>
      <c r="K7" s="17">
        <f>SUM(B$3:B7)</f>
        <v>1146601.2541973882</v>
      </c>
      <c r="L7" s="17">
        <f t="shared" si="1"/>
        <v>1332405.244119538</v>
      </c>
      <c r="M7" s="17">
        <f t="shared" si="0"/>
        <v>1149344.4679370401</v>
      </c>
      <c r="N7" s="17">
        <f>(F7*SUM(Costs!$F$4,Costs!$F$5)+G7*SUM(Costs!$F$4,Costs!$F$5,$W26)+H7*Costs!$F$7+I7*Costs!$F$7+J7*Costs!$F$7) /($Q$9^(A7-$A$3+1))</f>
        <v>274665269.84477019</v>
      </c>
      <c r="O7" s="17">
        <f>(F7*SUM(Costs!$F$4,Costs!$F$5)+G7*SUM(Costs!$F$4,Costs!$F$5,$W27)+H7*Costs!$F$7+I7*Costs!$F$7+J7*Costs!$F$7) /($Q$9^(A7-$A$3+1))</f>
        <v>274665269.84477019</v>
      </c>
      <c r="R7" s="20"/>
    </row>
    <row r="8" spans="1:27" x14ac:dyDescent="0.25">
      <c r="A8" s="14">
        <v>2024</v>
      </c>
      <c r="B8" s="15">
        <v>239126.00227645069</v>
      </c>
      <c r="C8" s="16">
        <v>61671.899418611829</v>
      </c>
      <c r="D8" s="16">
        <v>102378.3254593655</v>
      </c>
      <c r="E8" s="16">
        <v>186373.6852575544</v>
      </c>
      <c r="F8" s="16">
        <v>1146305.6234200313</v>
      </c>
      <c r="G8" s="16">
        <v>0</v>
      </c>
      <c r="H8" s="16">
        <v>200480.58413880187</v>
      </c>
      <c r="I8" s="16">
        <v>97976.669301290996</v>
      </c>
      <c r="J8" s="16">
        <v>55716.844590974055</v>
      </c>
      <c r="K8" s="17">
        <f>SUM(B$3:B8)</f>
        <v>1385727.2564738388</v>
      </c>
      <c r="L8" s="17">
        <f t="shared" si="1"/>
        <v>1572100.9417313933</v>
      </c>
      <c r="M8" s="17">
        <f t="shared" si="0"/>
        <v>1316609.788617589</v>
      </c>
      <c r="N8" s="17">
        <f>(F8*SUM(Costs!$F$4,Costs!$F$5)+G8*SUM(Costs!$F$4,Costs!$F$5,$W26)+H8*Costs!$F$7+I8*Costs!$F$7+J8*Costs!$F$7) /($Q$9^(A8-$A$3+1))</f>
        <v>269410713.00090319</v>
      </c>
      <c r="O8" s="17">
        <f>(F8*SUM(Costs!$F$4,Costs!$F$5)+G8*SUM(Costs!$F$4,Costs!$F$5,$W27)+H8*Costs!$F$7+I8*Costs!$F$7+J8*Costs!$F$7) /($Q$9^(A8-$A$3+1))</f>
        <v>269410713.00090319</v>
      </c>
      <c r="Q8" s="13" t="s">
        <v>6</v>
      </c>
    </row>
    <row r="9" spans="1:27" x14ac:dyDescent="0.25">
      <c r="A9" s="14">
        <v>2025</v>
      </c>
      <c r="B9" s="15">
        <v>242620.07412457888</v>
      </c>
      <c r="C9" s="16">
        <v>61780.314907816799</v>
      </c>
      <c r="D9" s="16">
        <v>103436.40271338959</v>
      </c>
      <c r="E9" s="16">
        <v>187016.15252124844</v>
      </c>
      <c r="F9" s="16">
        <v>1157730.1986943751</v>
      </c>
      <c r="G9" s="16">
        <v>0</v>
      </c>
      <c r="H9" s="16">
        <v>204129.00483870634</v>
      </c>
      <c r="I9" s="16">
        <v>98793.938163920902</v>
      </c>
      <c r="J9" s="16">
        <v>54885.103276869457</v>
      </c>
      <c r="K9" s="17">
        <f>SUM(B$3:B9)</f>
        <v>1628347.3305984177</v>
      </c>
      <c r="L9" s="17">
        <f t="shared" si="1"/>
        <v>1815363.4831196661</v>
      </c>
      <c r="M9" s="17">
        <f t="shared" si="0"/>
        <v>1476056.6381273041</v>
      </c>
      <c r="N9" s="17">
        <f>(F9*SUM(Costs!$F$4,Costs!$F$5)+G9*SUM(Costs!$F$4,Costs!$F$5,$W26)+H9*Costs!$F$7+I9*Costs!$F$7+J9*Costs!$F$7) /($Q$9^(A9-$A$3+1))</f>
        <v>264183801.90703553</v>
      </c>
      <c r="O9" s="17">
        <f>(F9*SUM(Costs!$F$4,Costs!$F$5)+G9*SUM(Costs!$F$4,Costs!$F$5,$W27)+H9*Costs!$F$7+I9*Costs!$F$7+J9*Costs!$F$7) /($Q$9^(A9-$A$3+1))</f>
        <v>264183801.90703553</v>
      </c>
      <c r="Q9" s="19">
        <v>1.03</v>
      </c>
    </row>
    <row r="10" spans="1:27" x14ac:dyDescent="0.25">
      <c r="A10" s="14">
        <v>2026</v>
      </c>
      <c r="B10" s="15">
        <v>246201.18375871764</v>
      </c>
      <c r="C10" s="16">
        <v>61925.628490819414</v>
      </c>
      <c r="D10" s="16">
        <v>104610.83173393861</v>
      </c>
      <c r="E10" s="16">
        <v>187737.24896299661</v>
      </c>
      <c r="F10" s="16">
        <v>1169001.5396742686</v>
      </c>
      <c r="G10" s="16">
        <v>0</v>
      </c>
      <c r="H10" s="16">
        <v>207605.46506140052</v>
      </c>
      <c r="I10" s="16">
        <v>99721.116890018689</v>
      </c>
      <c r="J10" s="16">
        <v>54111.427031644438</v>
      </c>
      <c r="K10" s="17">
        <f>SUM(B$3:B10)</f>
        <v>1874548.5143571354</v>
      </c>
      <c r="L10" s="17">
        <f t="shared" si="1"/>
        <v>2062285.7633201319</v>
      </c>
      <c r="M10" s="17">
        <f t="shared" si="0"/>
        <v>1627987.4253590759</v>
      </c>
      <c r="N10" s="17">
        <f>(F10*SUM(Costs!$F$4,Costs!$F$5)+G10*SUM(Costs!$F$4,Costs!$F$5,$W26)+H10*Costs!$F$7+I10*Costs!$F$7+J10*Costs!$F$7) /($Q$9^(A10-$A$3+1))</f>
        <v>259004189.58586058</v>
      </c>
      <c r="O10" s="17">
        <f>(F10*SUM(Costs!$F$4,Costs!$F$5)+G10*SUM(Costs!$F$4,Costs!$F$5,$W27)+H10*Costs!$F$7+I10*Costs!$F$7+J10*Costs!$F$7) /($Q$9^(A10-$A$3+1))</f>
        <v>259004189.58586058</v>
      </c>
    </row>
    <row r="11" spans="1:27" x14ac:dyDescent="0.25">
      <c r="A11" s="14">
        <v>2027</v>
      </c>
      <c r="B11" s="15">
        <v>249866.48638773191</v>
      </c>
      <c r="C11" s="16">
        <v>62108.829966277357</v>
      </c>
      <c r="D11" s="16">
        <v>105904.14373884314</v>
      </c>
      <c r="E11" s="16">
        <v>188541.10210005823</v>
      </c>
      <c r="F11" s="16">
        <v>1180195.5305990686</v>
      </c>
      <c r="G11" s="16">
        <v>0</v>
      </c>
      <c r="H11" s="16">
        <v>210939.64881632381</v>
      </c>
      <c r="I11" s="16">
        <v>100739.10728377392</v>
      </c>
      <c r="J11" s="16">
        <v>53401.419665777292</v>
      </c>
      <c r="K11" s="17">
        <f>SUM(B$3:B11)</f>
        <v>2124415.0007448671</v>
      </c>
      <c r="L11" s="17">
        <f t="shared" si="1"/>
        <v>2312956.1028449256</v>
      </c>
      <c r="M11" s="17">
        <f t="shared" si="0"/>
        <v>1772688.2583966579</v>
      </c>
      <c r="N11" s="17">
        <f>(F11*SUM(Costs!$F$4,Costs!$F$5)+G11*SUM(Costs!$F$4,Costs!$F$5,$W26)+H11*Costs!$F$7+I11*Costs!$F$7+J11*Costs!$F$7) /($Q$9^(A11-$A$3+1))</f>
        <v>253889846.39626038</v>
      </c>
      <c r="O11" s="17">
        <f>(F11*SUM(Costs!$F$4,Costs!$F$5)+G11*SUM(Costs!$F$4,Costs!$F$5,$W27)+H11*Costs!$F$7+I11*Costs!$F$7+J11*Costs!$F$7) /($Q$9^(A11-$A$3+1))</f>
        <v>253889846.39626038</v>
      </c>
    </row>
    <row r="12" spans="1:27" s="27" customFormat="1" x14ac:dyDescent="0.25">
      <c r="A12" s="23">
        <v>2028</v>
      </c>
      <c r="B12" s="24">
        <v>253613.7824778989</v>
      </c>
      <c r="C12" s="25">
        <v>62330.300900681003</v>
      </c>
      <c r="D12" s="25">
        <v>107320.14295995925</v>
      </c>
      <c r="E12" s="25">
        <v>189430.68905754326</v>
      </c>
      <c r="F12" s="25">
        <v>1191391.2208111004</v>
      </c>
      <c r="G12" s="25">
        <v>0</v>
      </c>
      <c r="H12" s="25">
        <v>214164.69709277537</v>
      </c>
      <c r="I12" s="25">
        <v>101828.32793650354</v>
      </c>
      <c r="J12" s="25">
        <v>52758.854595106786</v>
      </c>
      <c r="K12" s="26">
        <f>SUM(B$3:B12)</f>
        <v>2378028.7832227661</v>
      </c>
      <c r="L12" s="26">
        <f t="shared" si="1"/>
        <v>2567459.4722803095</v>
      </c>
      <c r="M12" s="26">
        <f t="shared" si="0"/>
        <v>1910430.9700677355</v>
      </c>
      <c r="N12" s="26">
        <f>(F12*SUM(Costs!$F$4,Costs!$F$5)+G12*SUM(Costs!$F$4,Costs!$F$5,$W26)+H12*Costs!$F$7+I12*Costs!$F$7+J12*Costs!$F$7) /($Q$9^(A12-$A$3+1))</f>
        <v>248857411.07390934</v>
      </c>
      <c r="O12" s="26">
        <f>(F12*SUM(Costs!$F$4,Costs!$F$5)+G12*SUM(Costs!$F$4,Costs!$F$5,$W27)+H12*Costs!$F$7+I12*Costs!$F$7+J12*Costs!$F$7) /($Q$9^(A12-$A$3+1))</f>
        <v>248857411.07390934</v>
      </c>
      <c r="V12" s="28"/>
    </row>
    <row r="13" spans="1:27" x14ac:dyDescent="0.25">
      <c r="A13" s="12" t="s">
        <v>0</v>
      </c>
      <c r="B13" s="6">
        <f>SUM(B3:B12)</f>
        <v>2378028.7832227661</v>
      </c>
      <c r="C13" s="6">
        <f>SUM(C3:C12)</f>
        <v>617685.63975893729</v>
      </c>
      <c r="D13" s="6">
        <f t="shared" ref="D13:O13" si="2">SUM(D3:D12)</f>
        <v>1023712.8534337104</v>
      </c>
      <c r="E13" s="6">
        <f t="shared" si="2"/>
        <v>1863533.4294550302</v>
      </c>
      <c r="F13" s="6">
        <f t="shared" si="2"/>
        <v>11394262.198745269</v>
      </c>
      <c r="G13" s="6">
        <f t="shared" si="2"/>
        <v>0</v>
      </c>
      <c r="H13" s="6">
        <f t="shared" si="2"/>
        <v>1977532.1181144901</v>
      </c>
      <c r="I13" s="6">
        <f t="shared" si="2"/>
        <v>981471.76338628354</v>
      </c>
      <c r="J13" s="6">
        <f t="shared" si="2"/>
        <v>563372.01651719003</v>
      </c>
      <c r="K13" s="6">
        <f t="shared" si="2"/>
        <v>12799407.077890409</v>
      </c>
      <c r="L13" s="6">
        <f t="shared" si="2"/>
        <v>14662940.507345438</v>
      </c>
      <c r="M13" s="6">
        <f t="shared" si="2"/>
        <v>12009753.525305275</v>
      </c>
      <c r="N13" s="6">
        <f t="shared" si="2"/>
        <v>2720953632.903316</v>
      </c>
      <c r="O13" s="6">
        <f t="shared" si="2"/>
        <v>2720953632.903316</v>
      </c>
      <c r="V13" s="18"/>
    </row>
    <row r="15" spans="1:27" ht="15" x14ac:dyDescent="0.4">
      <c r="B15" s="7" t="s">
        <v>66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220961.08175384731</v>
      </c>
      <c r="C17" s="16">
        <v>59419.345148950684</v>
      </c>
      <c r="D17" s="16">
        <v>95516.039107931167</v>
      </c>
      <c r="E17" s="16">
        <v>181172.82292006328</v>
      </c>
      <c r="F17" s="16">
        <v>977691.99809200247</v>
      </c>
      <c r="G17" s="16">
        <v>106291.36020781037</v>
      </c>
      <c r="H17" s="16">
        <v>178806.82791704778</v>
      </c>
      <c r="I17" s="16">
        <v>95957.659620380116</v>
      </c>
      <c r="J17" s="16">
        <v>60435.370453360403</v>
      </c>
      <c r="K17" s="17">
        <f>SUM(B$17:B17)</f>
        <v>220961.08175384731</v>
      </c>
      <c r="L17" s="17">
        <f>SUM(E17,K17)</f>
        <v>402133.90467391058</v>
      </c>
      <c r="M17" s="17">
        <f t="shared" ref="M17:M26" si="3">L17/($Q$9^(A17-$A$3+1))</f>
        <v>390421.2666736996</v>
      </c>
      <c r="N17" s="17">
        <f>(F17*SUM(Costs!$F$4,Costs!$F$5)+G17*SUM(Costs!$F$4,Costs!$F$5,$W26)+H17*Costs!$F$7+I17*Costs!$F$7+J17*Costs!$F$7) /($Q$9^(A17-$A$3+1))</f>
        <v>304718257.53711259</v>
      </c>
      <c r="O17" s="17">
        <f>(F17*SUM(Costs!$F$4,Costs!$F$5)+G17*SUM(Costs!$F$4,Costs!$F$5,$W27)+H17*Costs!$F$7+I17*Costs!$F$7+J17*Costs!$F$7) /($Q$9^(A17-$A$3+1))</f>
        <v>319939161.14839262</v>
      </c>
      <c r="Q17" s="32">
        <f>M$3-M17</f>
        <v>4908.1166258823941</v>
      </c>
      <c r="R17" s="27">
        <f>B$3-B17</f>
        <v>2180.3937754791987</v>
      </c>
      <c r="S17" s="27">
        <f>D$3-D17</f>
        <v>3304.7928955456882</v>
      </c>
      <c r="T17" s="27"/>
      <c r="U17" s="33"/>
      <c r="W17" s="55"/>
    </row>
    <row r="18" spans="1:26" x14ac:dyDescent="0.25">
      <c r="A18" s="14">
        <v>2020</v>
      </c>
      <c r="B18" s="15">
        <v>223997.07886313964</v>
      </c>
      <c r="C18" s="16">
        <v>59440.130438902335</v>
      </c>
      <c r="D18" s="16">
        <v>95891.724454250143</v>
      </c>
      <c r="E18" s="16">
        <v>181585.65791349523</v>
      </c>
      <c r="F18" s="16">
        <v>992944.41896925308</v>
      </c>
      <c r="G18" s="16">
        <v>103547.30951308645</v>
      </c>
      <c r="H18" s="16">
        <v>183218.68775884702</v>
      </c>
      <c r="I18" s="16">
        <v>96025.537379761023</v>
      </c>
      <c r="J18" s="16">
        <v>59436.477929867506</v>
      </c>
      <c r="K18" s="17">
        <f>SUM(B$17:B18)</f>
        <v>444958.16061698692</v>
      </c>
      <c r="L18" s="17">
        <f>SUM(E18,K18)</f>
        <v>626543.81853048212</v>
      </c>
      <c r="M18" s="17">
        <f t="shared" si="3"/>
        <v>590577.64023987378</v>
      </c>
      <c r="N18" s="17">
        <f>(F18*SUM(Costs!$F$4,Costs!$F$5)+G18*SUM(Costs!$F$4,Costs!$F$5,$W26)+H18*Costs!$F$7+I18*Costs!$F$7+J18*Costs!$F$7) /($Q$9^(A18-$A$3+1))</f>
        <v>298861542.35988355</v>
      </c>
      <c r="O18" s="17">
        <f>(F18*SUM(Costs!$F$4,Costs!$F$5)+G18*SUM(Costs!$F$4,Costs!$F$5,$W27)+H18*Costs!$F$7+I18*Costs!$F$7+J18*Costs!$F$7) /($Q$9^(A18-$A$3+1))</f>
        <v>313257616.19163752</v>
      </c>
      <c r="Q18" s="32">
        <f>M$4-M18</f>
        <v>6737.1018423460191</v>
      </c>
      <c r="R18" s="27">
        <f>B$4-B18</f>
        <v>2116.4571091831895</v>
      </c>
      <c r="S18" s="27">
        <f>D$4-D18</f>
        <v>3410.7459862631513</v>
      </c>
      <c r="T18" s="27"/>
      <c r="U18" s="33"/>
    </row>
    <row r="19" spans="1:26" x14ac:dyDescent="0.25">
      <c r="A19" s="14">
        <v>2021</v>
      </c>
      <c r="B19" s="15">
        <v>227152.01522617828</v>
      </c>
      <c r="C19" s="16">
        <v>59478.694339966714</v>
      </c>
      <c r="D19" s="16">
        <v>96362.173844088</v>
      </c>
      <c r="E19" s="16">
        <v>181992.87927839695</v>
      </c>
      <c r="F19" s="16">
        <v>1007573.8835908095</v>
      </c>
      <c r="G19" s="16">
        <v>100761.87712201192</v>
      </c>
      <c r="H19" s="16">
        <v>187413.95478566131</v>
      </c>
      <c r="I19" s="16">
        <v>96204.24088501191</v>
      </c>
      <c r="J19" s="16">
        <v>58443.50754771199</v>
      </c>
      <c r="K19" s="17">
        <f>SUM(B$17:B19)</f>
        <v>672110.17584316526</v>
      </c>
      <c r="L19" s="17">
        <f t="shared" ref="L19:L26" si="4">SUM(E19,K19)</f>
        <v>854103.05512156221</v>
      </c>
      <c r="M19" s="17">
        <f t="shared" si="3"/>
        <v>781625.28712254961</v>
      </c>
      <c r="N19" s="17">
        <f>(F19*SUM(Costs!$F$4,Costs!$F$5)+G19*SUM(Costs!$F$4,Costs!$F$5,$W26)+H19*Costs!$F$7+I19*Costs!$F$7+J19*Costs!$F$7) /($Q$9^(A19-$A$3+1))</f>
        <v>292928434.29955643</v>
      </c>
      <c r="O19" s="17">
        <f>(F19*SUM(Costs!$F$4,Costs!$F$5)+G19*SUM(Costs!$F$4,Costs!$F$5,$W27)+H19*Costs!$F$7+I19*Costs!$F$7+J19*Costs!$F$7) /($Q$9^(A19-$A$3+1))</f>
        <v>306529228.55978757</v>
      </c>
      <c r="Q19" s="32">
        <f>M$5-M19</f>
        <v>8427.0096655372763</v>
      </c>
      <c r="R19" s="27">
        <f>B$5-B19</f>
        <v>2056.8088653137966</v>
      </c>
      <c r="S19" s="27">
        <f>D$5-D19</f>
        <v>3534.3624552991678</v>
      </c>
      <c r="T19" s="27"/>
      <c r="U19" s="33"/>
    </row>
    <row r="20" spans="1:26" x14ac:dyDescent="0.25">
      <c r="A20" s="14">
        <v>2022</v>
      </c>
      <c r="B20" s="15">
        <v>230410.59109878785</v>
      </c>
      <c r="C20" s="16">
        <v>59535.446329632388</v>
      </c>
      <c r="D20" s="16">
        <v>96908.123089310306</v>
      </c>
      <c r="E20" s="16">
        <v>182405.97055447337</v>
      </c>
      <c r="F20" s="16">
        <v>1021593.386721566</v>
      </c>
      <c r="G20" s="16">
        <v>97981.426224396171</v>
      </c>
      <c r="H20" s="16">
        <v>191380.80961113822</v>
      </c>
      <c r="I20" s="16">
        <v>96496.505757060106</v>
      </c>
      <c r="J20" s="16">
        <v>57466.261046204418</v>
      </c>
      <c r="K20" s="17">
        <f>SUM(B$17:B20)</f>
        <v>902520.7669419531</v>
      </c>
      <c r="L20" s="17">
        <f t="shared" si="4"/>
        <v>1084926.7374964266</v>
      </c>
      <c r="M20" s="17">
        <f t="shared" si="3"/>
        <v>963943.35420299962</v>
      </c>
      <c r="N20" s="17">
        <f>(F20*SUM(Costs!$F$4,Costs!$F$5)+G20*SUM(Costs!$F$4,Costs!$F$5,$W26)+H20*Costs!$F$7+I20*Costs!$F$7+J20*Costs!$F$7) /($Q$9^(A20-$A$3+1))</f>
        <v>286949079.55759251</v>
      </c>
      <c r="O20" s="17">
        <f>(F20*SUM(Costs!$F$4,Costs!$F$5)+G20*SUM(Costs!$F$4,Costs!$F$5,$W27)+H20*Costs!$F$7+I20*Costs!$F$7+J20*Costs!$F$7) /($Q$9^(A20-$A$3+1))</f>
        <v>299789361.31471634</v>
      </c>
      <c r="Q20" s="32">
        <f>M$6-M20</f>
        <v>9996.2004269839963</v>
      </c>
      <c r="R20" s="27">
        <f>B$6-B20</f>
        <v>2004.1889799490164</v>
      </c>
      <c r="S20" s="27">
        <f>D$6-D20</f>
        <v>3699.6408913122141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233760.45994900464</v>
      </c>
      <c r="C21" s="16">
        <v>59610.421543573349</v>
      </c>
      <c r="D21" s="16">
        <v>97536.512086930888</v>
      </c>
      <c r="E21" s="16">
        <v>182834.53674472042</v>
      </c>
      <c r="F21" s="16">
        <v>1035018.6473075908</v>
      </c>
      <c r="G21" s="16">
        <v>95246.370992699929</v>
      </c>
      <c r="H21" s="16">
        <v>195118.90730655231</v>
      </c>
      <c r="I21" s="16">
        <v>96900.411212160354</v>
      </c>
      <c r="J21" s="16">
        <v>56513.827142950555</v>
      </c>
      <c r="K21" s="17">
        <f>SUM(B$17:B21)</f>
        <v>1136281.2268909577</v>
      </c>
      <c r="L21" s="17">
        <f t="shared" si="4"/>
        <v>1319115.7636356782</v>
      </c>
      <c r="M21" s="17">
        <f t="shared" si="3"/>
        <v>1137880.8453317608</v>
      </c>
      <c r="N21" s="17">
        <f>(F21*SUM(Costs!$F$4,Costs!$F$5)+G21*SUM(Costs!$F$4,Costs!$F$5,$W26)+H21*Costs!$F$7+I21*Costs!$F$7+J21*Costs!$F$7) /($Q$9^(A21-$A$3+1))</f>
        <v>280950567.06508064</v>
      </c>
      <c r="O21" s="17">
        <f>(F21*SUM(Costs!$F$4,Costs!$F$5)+G21*SUM(Costs!$F$4,Costs!$F$5,$W27)+H21*Costs!$F$7+I21*Costs!$F$7+J21*Costs!$F$7) /($Q$9^(A21-$A$3+1))</f>
        <v>293068875.71494931</v>
      </c>
      <c r="Q21" s="32">
        <f>M$7-M21</f>
        <v>11463.622605279321</v>
      </c>
      <c r="R21" s="27">
        <f>B$7-B21</f>
        <v>1962.1785765054228</v>
      </c>
      <c r="S21" s="27">
        <f>D$7-D21</f>
        <v>3898.8920172835205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237192.66671382761</v>
      </c>
      <c r="C22" s="16">
        <v>59704.279026388234</v>
      </c>
      <c r="D22" s="16">
        <v>98251.412486229034</v>
      </c>
      <c r="E22" s="16">
        <v>183286.88964870048</v>
      </c>
      <c r="F22" s="16">
        <v>1047874.2058227126</v>
      </c>
      <c r="G22" s="16">
        <v>92593.277131924551</v>
      </c>
      <c r="H22" s="16">
        <v>198636.19493149078</v>
      </c>
      <c r="I22" s="16">
        <v>97410.371128373605</v>
      </c>
      <c r="J22" s="16">
        <v>55594.347774826019</v>
      </c>
      <c r="K22" s="17">
        <f>SUM(B$17:B22)</f>
        <v>1373473.8936047852</v>
      </c>
      <c r="L22" s="17">
        <f t="shared" si="4"/>
        <v>1556760.7832534858</v>
      </c>
      <c r="M22" s="17">
        <f t="shared" si="3"/>
        <v>1303762.6473973093</v>
      </c>
      <c r="N22" s="17">
        <f>(F22*SUM(Costs!$F$4,Costs!$F$5)+G22*SUM(Costs!$F$4,Costs!$F$5,$W26)+H22*Costs!$F$7+I22*Costs!$F$7+J22*Costs!$F$7) /($Q$9^(A22-$A$3+1))</f>
        <v>274958592.49389344</v>
      </c>
      <c r="O22" s="17">
        <f>(F22*SUM(Costs!$F$4,Costs!$F$5)+G22*SUM(Costs!$F$4,Costs!$F$5,$W27)+H22*Costs!$F$7+I22*Costs!$F$7+J22*Costs!$F$7) /($Q$9^(A22-$A$3+1))</f>
        <v>286396216.15797478</v>
      </c>
      <c r="Q22" s="32">
        <f>M$8-M22</f>
        <v>12847.141220279736</v>
      </c>
      <c r="R22" s="27">
        <f>B$8-B22</f>
        <v>1933.3355626230768</v>
      </c>
      <c r="S22" s="27">
        <f>D$8-D22</f>
        <v>4126.9129731364665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240700.72133712156</v>
      </c>
      <c r="C23" s="16">
        <v>59817.847676455072</v>
      </c>
      <c r="D23" s="16">
        <v>99054.525192157816</v>
      </c>
      <c r="E23" s="16">
        <v>183769.84803164972</v>
      </c>
      <c r="F23" s="16">
        <v>1060193.3538734668</v>
      </c>
      <c r="G23" s="16">
        <v>90052.978988475807</v>
      </c>
      <c r="H23" s="16">
        <v>201946.5821485151</v>
      </c>
      <c r="I23" s="16">
        <v>98017.707973974466</v>
      </c>
      <c r="J23" s="16">
        <v>54714.85028683376</v>
      </c>
      <c r="K23" s="17">
        <f>SUM(B$17:B23)</f>
        <v>1614174.6149419066</v>
      </c>
      <c r="L23" s="17">
        <f t="shared" si="4"/>
        <v>1797944.4629735565</v>
      </c>
      <c r="M23" s="17">
        <f t="shared" si="3"/>
        <v>1461893.3807105836</v>
      </c>
      <c r="N23" s="17">
        <f>(F23*SUM(Costs!$F$4,Costs!$F$5)+G23*SUM(Costs!$F$4,Costs!$F$5,$W26)+H23*Costs!$F$7+I23*Costs!$F$7+J23*Costs!$F$7) /($Q$9^(A23-$A$3+1))</f>
        <v>268996707.01082176</v>
      </c>
      <c r="O23" s="17">
        <f>(F23*SUM(Costs!$F$4,Costs!$F$5)+G23*SUM(Costs!$F$4,Costs!$F$5,$W27)+H23*Costs!$F$7+I23*Costs!$F$7+J23*Costs!$F$7) /($Q$9^(A23-$A$3+1))</f>
        <v>279796544.15939277</v>
      </c>
      <c r="Q23" s="32">
        <f>M$9-M23</f>
        <v>14163.257416720502</v>
      </c>
      <c r="R23" s="27">
        <f>B$9-B23</f>
        <v>1919.3527874573192</v>
      </c>
      <c r="S23" s="27">
        <f>D$9-D23</f>
        <v>4381.8775212317705</v>
      </c>
      <c r="T23" s="27"/>
      <c r="U23" s="33"/>
    </row>
    <row r="24" spans="1:26" ht="13.8" thickBot="1" x14ac:dyDescent="0.3">
      <c r="A24" s="14">
        <v>2026</v>
      </c>
      <c r="B24" s="15">
        <v>244279.90394279151</v>
      </c>
      <c r="C24" s="16">
        <v>59951.829025032894</v>
      </c>
      <c r="D24" s="16">
        <v>99947.195211299171</v>
      </c>
      <c r="E24" s="16">
        <v>184288.79108172117</v>
      </c>
      <c r="F24" s="16">
        <v>1072017.8258715784</v>
      </c>
      <c r="G24" s="16">
        <v>87650.012748091714</v>
      </c>
      <c r="H24" s="16">
        <v>205068.7503537726</v>
      </c>
      <c r="I24" s="16">
        <v>98711.209956760984</v>
      </c>
      <c r="J24" s="16">
        <v>53881.161470481988</v>
      </c>
      <c r="K24" s="17">
        <f>SUM(B$17:B24)</f>
        <v>1858454.5188846982</v>
      </c>
      <c r="L24" s="17">
        <f t="shared" si="4"/>
        <v>2042743.3099664194</v>
      </c>
      <c r="M24" s="17">
        <f t="shared" si="3"/>
        <v>1612560.4322205058</v>
      </c>
      <c r="N24" s="17">
        <f>(F24*SUM(Costs!$F$4,Costs!$F$5)+G24*SUM(Costs!$F$4,Costs!$F$5,$W26)+H24*Costs!$F$7+I24*Costs!$F$7+J24*Costs!$F$7) /($Q$9^(A24-$A$3+1))</f>
        <v>263086142.2764388</v>
      </c>
      <c r="O24" s="17">
        <f>(F24*SUM(Costs!$F$4,Costs!$F$5)+G24*SUM(Costs!$F$4,Costs!$F$5,$W27)+H24*Costs!$F$7+I24*Costs!$F$7+J24*Costs!$F$7) /($Q$9^(A24-$A$3+1))</f>
        <v>273291632.74990708</v>
      </c>
      <c r="Q24" s="32">
        <f>M$10-M24</f>
        <v>15426.993138570106</v>
      </c>
      <c r="R24" s="27">
        <f>B$10-B24</f>
        <v>1921.2798159261292</v>
      </c>
      <c r="S24" s="27">
        <f>D$10-D24</f>
        <v>4663.636522639441</v>
      </c>
      <c r="T24" s="27"/>
      <c r="U24" s="33"/>
    </row>
    <row r="25" spans="1:26" x14ac:dyDescent="0.25">
      <c r="A25" s="14">
        <v>2027</v>
      </c>
      <c r="B25" s="15">
        <v>247926.82517086845</v>
      </c>
      <c r="C25" s="16">
        <v>60106.693272186465</v>
      </c>
      <c r="D25" s="16">
        <v>100931.41257096449</v>
      </c>
      <c r="E25" s="16">
        <v>184847.93453101328</v>
      </c>
      <c r="F25" s="16">
        <v>1083397.712933521</v>
      </c>
      <c r="G25" s="16">
        <v>85402.955945647234</v>
      </c>
      <c r="H25" s="16">
        <v>208025.40183844604</v>
      </c>
      <c r="I25" s="16">
        <v>99477.818621960556</v>
      </c>
      <c r="J25" s="16">
        <v>53097.880140754947</v>
      </c>
      <c r="K25" s="17">
        <f>SUM(B$17:B25)</f>
        <v>2106381.3440555665</v>
      </c>
      <c r="L25" s="17">
        <f t="shared" si="4"/>
        <v>2291229.27858658</v>
      </c>
      <c r="M25" s="17">
        <f t="shared" si="3"/>
        <v>1756036.4567443724</v>
      </c>
      <c r="N25" s="17">
        <f>(F25*SUM(Costs!$F$4,Costs!$F$5)+G25*SUM(Costs!$F$4,Costs!$F$5,$W26)+H25*Costs!$F$7+I25*Costs!$F$7+J25*Costs!$F$7) /($Q$9^(A25-$A$3+1))</f>
        <v>257246020.32932857</v>
      </c>
      <c r="O25" s="17">
        <f>(F25*SUM(Costs!$F$4,Costs!$F$5)+G25*SUM(Costs!$F$4,Costs!$F$5,$W27)+H25*Costs!$F$7+I25*Costs!$F$7+J25*Costs!$F$7) /($Q$9^(A25-$A$3+1))</f>
        <v>266900248.88114995</v>
      </c>
      <c r="Q25" s="32">
        <f>M$11-M25</f>
        <v>16651.801652285503</v>
      </c>
      <c r="R25" s="27">
        <f>B$11-B25</f>
        <v>1939.6612168634601</v>
      </c>
      <c r="S25" s="27">
        <f>D$11-D25</f>
        <v>4972.73116787865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251639.1454387948</v>
      </c>
      <c r="C26" s="25">
        <v>60282.682166294042</v>
      </c>
      <c r="D26" s="25">
        <v>102010.15608263675</v>
      </c>
      <c r="E26" s="25">
        <v>185450.71099614227</v>
      </c>
      <c r="F26" s="25">
        <v>1094391.43964282</v>
      </c>
      <c r="G26" s="25">
        <v>83325.14265004074</v>
      </c>
      <c r="H26" s="25">
        <v>210842.62156258832</v>
      </c>
      <c r="I26" s="25">
        <v>100303.42234753369</v>
      </c>
      <c r="J26" s="25">
        <v>52368.385812157161</v>
      </c>
      <c r="K26" s="26">
        <f>SUM(B$17:B26)</f>
        <v>2358020.4894943614</v>
      </c>
      <c r="L26" s="26">
        <f t="shared" si="4"/>
        <v>2543471.2004905036</v>
      </c>
      <c r="M26" s="26">
        <f t="shared" si="3"/>
        <v>1892581.4430000521</v>
      </c>
      <c r="N26" s="26">
        <f>(F26*SUM(Costs!$F$4,Costs!$F$5)+G26*SUM(Costs!$F$4,Costs!$F$5,$W26)+H26*Costs!$F$7+I26*Costs!$F$7+J26*Costs!$F$7) /($Q$9^(A26-$A$3+1))</f>
        <v>251493675.80439186</v>
      </c>
      <c r="O26" s="26">
        <f>(F26*SUM(Costs!$F$4,Costs!$F$5)+G26*SUM(Costs!$F$4,Costs!$F$5,$W27)+H26*Costs!$F$7+I26*Costs!$F$7+J26*Costs!$F$7) /($Q$9^(A26-$A$3+1))</f>
        <v>260638671.69105318</v>
      </c>
      <c r="Q26" s="35">
        <f>M$12-M26</f>
        <v>17849.527067683404</v>
      </c>
      <c r="R26" s="27">
        <f>B$12-B26</f>
        <v>1974.6370391040982</v>
      </c>
      <c r="S26" s="27">
        <f>D$12-D26</f>
        <v>5309.9868773225026</v>
      </c>
      <c r="T26" s="42"/>
      <c r="U26" s="36"/>
      <c r="W26" s="43">
        <v>90.461303645790295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2358020.4894943614</v>
      </c>
      <c r="C27" s="6">
        <f>SUM(C17:C26)</f>
        <v>597347.36896738224</v>
      </c>
      <c r="D27" s="6">
        <f t="shared" si="5"/>
        <v>982409.27412579802</v>
      </c>
      <c r="E27" s="6">
        <f t="shared" si="5"/>
        <v>1831636.0417003764</v>
      </c>
      <c r="F27" s="6">
        <f t="shared" si="5"/>
        <v>10392696.872825323</v>
      </c>
      <c r="G27" s="6">
        <f t="shared" si="5"/>
        <v>942852.71152418479</v>
      </c>
      <c r="H27" s="6">
        <f t="shared" si="5"/>
        <v>1960458.7382140595</v>
      </c>
      <c r="I27" s="6">
        <f t="shared" si="5"/>
        <v>975504.88488297677</v>
      </c>
      <c r="J27" s="6">
        <f t="shared" si="5"/>
        <v>561952.06960514875</v>
      </c>
      <c r="K27" s="6">
        <f t="shared" si="5"/>
        <v>12687336.273028228</v>
      </c>
      <c r="L27" s="6">
        <f t="shared" si="5"/>
        <v>14518972.314728606</v>
      </c>
      <c r="M27" s="6">
        <f t="shared" si="5"/>
        <v>11891282.753643706</v>
      </c>
      <c r="N27" s="6">
        <f t="shared" si="5"/>
        <v>2780189018.7341003</v>
      </c>
      <c r="O27" s="6">
        <f t="shared" si="5"/>
        <v>2899607556.5689611</v>
      </c>
      <c r="Q27" s="6">
        <f>SUM(Q17:Q26)</f>
        <v>118470.77166156826</v>
      </c>
      <c r="R27" s="37">
        <f>SUM(R17:R26)</f>
        <v>20008.293728404708</v>
      </c>
      <c r="S27" s="37">
        <f>SUM(S17:S26)</f>
        <v>41303.579307912572</v>
      </c>
      <c r="T27" s="18">
        <f>(N27-N$13)/Q27</f>
        <v>500.00000000000159</v>
      </c>
      <c r="U27" s="18">
        <f>(O27-O$13)/Q27</f>
        <v>1508.0000000000016</v>
      </c>
      <c r="W27" s="44">
        <v>237.95711787723167</v>
      </c>
      <c r="X27" s="50">
        <f>$Q$3</f>
        <v>1508</v>
      </c>
      <c r="Y27" s="22" t="s">
        <v>61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7"/>
  <sheetViews>
    <sheetView zoomScale="90" zoomScaleNormal="90" workbookViewId="0">
      <pane xSplit="1" ySplit="2" topLeftCell="B3" activePane="bottomRight" state="frozen"/>
      <selection activeCell="N29" sqref="N29:O30"/>
      <selection pane="topRight" activeCell="N29" sqref="N29:O30"/>
      <selection pane="bottomLeft" activeCell="N29" sqref="N29:O30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123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206985.43739703915</v>
      </c>
      <c r="C3" s="16">
        <v>38589.362852250561</v>
      </c>
      <c r="D3" s="16">
        <v>59761.39508604617</v>
      </c>
      <c r="E3" s="16">
        <v>119858.86531884414</v>
      </c>
      <c r="F3" s="16">
        <v>761149.97099813703</v>
      </c>
      <c r="G3" s="16">
        <v>0</v>
      </c>
      <c r="H3" s="16">
        <v>100717.11966863862</v>
      </c>
      <c r="I3" s="16">
        <v>55388.243512253444</v>
      </c>
      <c r="J3" s="16">
        <v>35268.243344085502</v>
      </c>
      <c r="K3" s="17">
        <f>SUM(B$3:B3)</f>
        <v>206985.43739703915</v>
      </c>
      <c r="L3" s="17">
        <f>SUM(E3,K3)</f>
        <v>326844.3027158833</v>
      </c>
      <c r="M3" s="17">
        <f t="shared" ref="M3:M12" si="0">L3/($Q$9^(A3-$A$3+1))</f>
        <v>317324.56574357604</v>
      </c>
      <c r="N3" s="17">
        <f>(F3*SUM(Costs!$F$4,Costs!$F$5)+G3*SUM(Costs!$F$4,Costs!$F$5,$W26)+H3*Costs!$F$7+I3*Costs!$F$7+J3*Costs!$F$7) /($Q$9^(A3-$A$3+1))</f>
        <v>200777591.29388529</v>
      </c>
      <c r="O3" s="17">
        <f>(F3*SUM(Costs!$F$4,Costs!$F$5)+G3*SUM(Costs!$F$4,Costs!$F$5,$W27)+H3*Costs!$F$7+I3*Costs!$F$7+J3*Costs!$F$7) /($Q$9^(A3-$A$3+1))</f>
        <v>200777591.29388529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209438.40888046179</v>
      </c>
      <c r="C4" s="16">
        <v>37869.134175505118</v>
      </c>
      <c r="D4" s="16">
        <v>58953.332880797978</v>
      </c>
      <c r="E4" s="16">
        <v>118906.87028508451</v>
      </c>
      <c r="F4" s="16">
        <v>770693.61519000551</v>
      </c>
      <c r="G4" s="16">
        <v>0</v>
      </c>
      <c r="H4" s="16">
        <v>100017.79490569203</v>
      </c>
      <c r="I4" s="16">
        <v>53776.470393933036</v>
      </c>
      <c r="J4" s="16">
        <v>33742.316149148828</v>
      </c>
      <c r="K4" s="17">
        <f>SUM(B$3:B4)</f>
        <v>416423.84627750097</v>
      </c>
      <c r="L4" s="17">
        <f t="shared" ref="L4:L12" si="1">SUM(E4,K4)</f>
        <v>535330.71656258544</v>
      </c>
      <c r="M4" s="17">
        <f t="shared" si="0"/>
        <v>504600.5434655344</v>
      </c>
      <c r="N4" s="17">
        <f>(F4*SUM(Costs!$F$4,Costs!$F$5)+G4*SUM(Costs!$F$4,Costs!$F$5,$W26)+H4*Costs!$F$7+I4*Costs!$F$7+J4*Costs!$F$7) /($Q$9^(A4-$A$3+1))</f>
        <v>196460819.73833695</v>
      </c>
      <c r="O4" s="17">
        <f>(F4*SUM(Costs!$F$4,Costs!$F$5)+G4*SUM(Costs!$F$4,Costs!$F$5,$W27)+H4*Costs!$F$7+I4*Costs!$F$7+J4*Costs!$F$7) /($Q$9^(A4-$A$3+1))</f>
        <v>196460819.73833695</v>
      </c>
    </row>
    <row r="5" spans="1:27" x14ac:dyDescent="0.25">
      <c r="A5" s="14">
        <v>2021</v>
      </c>
      <c r="B5" s="15">
        <v>212485.6840292658</v>
      </c>
      <c r="C5" s="16">
        <v>37640.030852457116</v>
      </c>
      <c r="D5" s="16">
        <v>58803.868571703133</v>
      </c>
      <c r="E5" s="16">
        <v>118491.63351406233</v>
      </c>
      <c r="F5" s="16">
        <v>774674.89479777007</v>
      </c>
      <c r="G5" s="16">
        <v>0</v>
      </c>
      <c r="H5" s="16">
        <v>101812.14052240876</v>
      </c>
      <c r="I5" s="16">
        <v>53566.18355365633</v>
      </c>
      <c r="J5" s="16">
        <v>33042.519196568079</v>
      </c>
      <c r="K5" s="17">
        <f>SUM(B$3:B5)</f>
        <v>628909.53030676674</v>
      </c>
      <c r="L5" s="17">
        <f t="shared" si="1"/>
        <v>747401.16382082901</v>
      </c>
      <c r="M5" s="17">
        <f t="shared" si="0"/>
        <v>683977.94126147614</v>
      </c>
      <c r="N5" s="17">
        <f>(F5*SUM(Costs!$F$4,Costs!$F$5)+G5*SUM(Costs!$F$4,Costs!$F$5,$W26)+H5*Costs!$F$7+I5*Costs!$F$7+J5*Costs!$F$7) /($Q$9^(A5-$A$3+1))</f>
        <v>191711972.08752328</v>
      </c>
      <c r="O5" s="17">
        <f>(F5*SUM(Costs!$F$4,Costs!$F$5)+G5*SUM(Costs!$F$4,Costs!$F$5,$W27)+H5*Costs!$F$7+I5*Costs!$F$7+J5*Costs!$F$7) /($Q$9^(A5-$A$3+1))</f>
        <v>191711972.08752328</v>
      </c>
      <c r="Q5" s="13" t="s">
        <v>21</v>
      </c>
    </row>
    <row r="6" spans="1:27" x14ac:dyDescent="0.25">
      <c r="A6" s="14">
        <v>2022</v>
      </c>
      <c r="B6" s="15">
        <v>215376.24016149435</v>
      </c>
      <c r="C6" s="16">
        <v>37167.116049208897</v>
      </c>
      <c r="D6" s="16">
        <v>58378.337809193974</v>
      </c>
      <c r="E6" s="16">
        <v>117769.4271971359</v>
      </c>
      <c r="F6" s="16">
        <v>780466.54175429267</v>
      </c>
      <c r="G6" s="16">
        <v>0</v>
      </c>
      <c r="H6" s="16">
        <v>102049.40852402007</v>
      </c>
      <c r="I6" s="16">
        <v>52725.426862972919</v>
      </c>
      <c r="J6" s="16">
        <v>31956.081937871706</v>
      </c>
      <c r="K6" s="17">
        <f>SUM(B$3:B6)</f>
        <v>844285.77046826109</v>
      </c>
      <c r="L6" s="17">
        <f t="shared" si="1"/>
        <v>962055.19766539696</v>
      </c>
      <c r="M6" s="17">
        <f t="shared" si="0"/>
        <v>854773.58250567317</v>
      </c>
      <c r="N6" s="17">
        <f>(F6*SUM(Costs!$F$4,Costs!$F$5)+G6*SUM(Costs!$F$4,Costs!$F$5,$W26)+H6*Costs!$F$7+I6*Costs!$F$7+J6*Costs!$F$7) /($Q$9^(A6-$A$3+1))</f>
        <v>187092085.6202791</v>
      </c>
      <c r="O6" s="17">
        <f>(F6*SUM(Costs!$F$4,Costs!$F$5)+G6*SUM(Costs!$F$4,Costs!$F$5,$W27)+H6*Costs!$F$7+I6*Costs!$F$7+J6*Costs!$F$7) /($Q$9^(A6-$A$3+1))</f>
        <v>187092085.6202791</v>
      </c>
      <c r="Q6" s="38">
        <v>500</v>
      </c>
    </row>
    <row r="7" spans="1:27" x14ac:dyDescent="0.25">
      <c r="A7" s="14">
        <v>2023</v>
      </c>
      <c r="B7" s="15">
        <v>218343.24254943233</v>
      </c>
      <c r="C7" s="16">
        <v>36694.685140529902</v>
      </c>
      <c r="D7" s="16">
        <v>57977.411467859449</v>
      </c>
      <c r="E7" s="16">
        <v>117021.48244648299</v>
      </c>
      <c r="F7" s="16">
        <v>785604.56915491994</v>
      </c>
      <c r="G7" s="16">
        <v>0</v>
      </c>
      <c r="H7" s="16">
        <v>102090.89568214757</v>
      </c>
      <c r="I7" s="16">
        <v>51923.046049623357</v>
      </c>
      <c r="J7" s="16">
        <v>30888.643709976997</v>
      </c>
      <c r="K7" s="17">
        <f>SUM(B$3:B7)</f>
        <v>1062629.0130176935</v>
      </c>
      <c r="L7" s="17">
        <f t="shared" si="1"/>
        <v>1179650.4954641764</v>
      </c>
      <c r="M7" s="17">
        <f t="shared" si="0"/>
        <v>1017576.8798905301</v>
      </c>
      <c r="N7" s="17">
        <f>(F7*SUM(Costs!$F$4,Costs!$F$5)+G7*SUM(Costs!$F$4,Costs!$F$5,$W26)+H7*Costs!$F$7+I7*Costs!$F$7+J7*Costs!$F$7) /($Q$9^(A7-$A$3+1))</f>
        <v>182428969.90149745</v>
      </c>
      <c r="O7" s="17">
        <f>(F7*SUM(Costs!$F$4,Costs!$F$5)+G7*SUM(Costs!$F$4,Costs!$F$5,$W27)+H7*Costs!$F$7+I7*Costs!$F$7+J7*Costs!$F$7) /($Q$9^(A7-$A$3+1))</f>
        <v>182428969.90149745</v>
      </c>
      <c r="R7" s="20"/>
    </row>
    <row r="8" spans="1:27" x14ac:dyDescent="0.25">
      <c r="A8" s="14">
        <v>2024</v>
      </c>
      <c r="B8" s="15">
        <v>221379.15622425635</v>
      </c>
      <c r="C8" s="16">
        <v>36225.4860818663</v>
      </c>
      <c r="D8" s="16">
        <v>57609.388494564679</v>
      </c>
      <c r="E8" s="16">
        <v>116260.54250595676</v>
      </c>
      <c r="F8" s="16">
        <v>790164.34998938057</v>
      </c>
      <c r="G8" s="16">
        <v>0</v>
      </c>
      <c r="H8" s="16">
        <v>101941.87170999547</v>
      </c>
      <c r="I8" s="16">
        <v>51161.076525767559</v>
      </c>
      <c r="J8" s="16">
        <v>29850.146096822231</v>
      </c>
      <c r="K8" s="17">
        <f>SUM(B$3:B8)</f>
        <v>1284008.1692419499</v>
      </c>
      <c r="L8" s="17">
        <f t="shared" si="1"/>
        <v>1400268.7117479066</v>
      </c>
      <c r="M8" s="17">
        <f t="shared" si="0"/>
        <v>1172703.0012155739</v>
      </c>
      <c r="N8" s="17">
        <f>(F8*SUM(Costs!$F$4,Costs!$F$5)+G8*SUM(Costs!$F$4,Costs!$F$5,$W26)+H8*Costs!$F$7+I8*Costs!$F$7+J8*Costs!$F$7) /($Q$9^(A8-$A$3+1))</f>
        <v>177750351.68338174</v>
      </c>
      <c r="O8" s="17">
        <f>(F8*SUM(Costs!$F$4,Costs!$F$5)+G8*SUM(Costs!$F$4,Costs!$F$5,$W27)+H8*Costs!$F$7+I8*Costs!$F$7+J8*Costs!$F$7) /($Q$9^(A8-$A$3+1))</f>
        <v>177750351.68338174</v>
      </c>
      <c r="Q8" s="13" t="s">
        <v>6</v>
      </c>
    </row>
    <row r="9" spans="1:27" x14ac:dyDescent="0.25">
      <c r="A9" s="14">
        <v>2025</v>
      </c>
      <c r="B9" s="15">
        <v>224233.56472860716</v>
      </c>
      <c r="C9" s="16">
        <v>35515.17624972199</v>
      </c>
      <c r="D9" s="16">
        <v>56942.018489842121</v>
      </c>
      <c r="E9" s="16">
        <v>115215.20482569352</v>
      </c>
      <c r="F9" s="16">
        <v>796603.52428124391</v>
      </c>
      <c r="G9" s="16">
        <v>0</v>
      </c>
      <c r="H9" s="16">
        <v>100155.49743200532</v>
      </c>
      <c r="I9" s="16">
        <v>49762.208718206319</v>
      </c>
      <c r="J9" s="16">
        <v>28478.676289454263</v>
      </c>
      <c r="K9" s="17">
        <f>SUM(B$3:B9)</f>
        <v>1508241.7339705571</v>
      </c>
      <c r="L9" s="17">
        <f t="shared" si="1"/>
        <v>1623456.9387962506</v>
      </c>
      <c r="M9" s="17">
        <f t="shared" si="0"/>
        <v>1320019.0559666979</v>
      </c>
      <c r="N9" s="17">
        <f>(F9*SUM(Costs!$F$4,Costs!$F$5)+G9*SUM(Costs!$F$4,Costs!$F$5,$W26)+H9*Costs!$F$7+I9*Costs!$F$7+J9*Costs!$F$7) /($Q$9^(A9-$A$3+1))</f>
        <v>173215781.24578667</v>
      </c>
      <c r="O9" s="17">
        <f>(F9*SUM(Costs!$F$4,Costs!$F$5)+G9*SUM(Costs!$F$4,Costs!$F$5,$W27)+H9*Costs!$F$7+I9*Costs!$F$7+J9*Costs!$F$7) /($Q$9^(A9-$A$3+1))</f>
        <v>173215781.24578667</v>
      </c>
      <c r="Q9" s="19">
        <v>1.03</v>
      </c>
    </row>
    <row r="10" spans="1:27" x14ac:dyDescent="0.25">
      <c r="A10" s="14">
        <v>2026</v>
      </c>
      <c r="B10" s="15">
        <v>227387.64522719133</v>
      </c>
      <c r="C10" s="16">
        <v>35050.112365442859</v>
      </c>
      <c r="D10" s="16">
        <v>56603.989119699887</v>
      </c>
      <c r="E10" s="16">
        <v>114418.71992825199</v>
      </c>
      <c r="F10" s="16">
        <v>799980.70908652595</v>
      </c>
      <c r="G10" s="16">
        <v>0</v>
      </c>
      <c r="H10" s="16">
        <v>99646.837948161294</v>
      </c>
      <c r="I10" s="16">
        <v>49047.404450554997</v>
      </c>
      <c r="J10" s="16">
        <v>27504.927600353272</v>
      </c>
      <c r="K10" s="17">
        <f>SUM(B$3:B10)</f>
        <v>1735629.3791977484</v>
      </c>
      <c r="L10" s="17">
        <f t="shared" si="1"/>
        <v>1850048.0991260004</v>
      </c>
      <c r="M10" s="17">
        <f t="shared" si="0"/>
        <v>1460445.0533750083</v>
      </c>
      <c r="N10" s="17">
        <f>(F10*SUM(Costs!$F$4,Costs!$F$5)+G10*SUM(Costs!$F$4,Costs!$F$5,$W26)+H10*Costs!$F$7+I10*Costs!$F$7+J10*Costs!$F$7) /($Q$9^(A10-$A$3+1))</f>
        <v>168521506.68095532</v>
      </c>
      <c r="O10" s="17">
        <f>(F10*SUM(Costs!$F$4,Costs!$F$5)+G10*SUM(Costs!$F$4,Costs!$F$5,$W27)+H10*Costs!$F$7+I10*Costs!$F$7+J10*Costs!$F$7) /($Q$9^(A10-$A$3+1))</f>
        <v>168521506.68095532</v>
      </c>
    </row>
    <row r="11" spans="1:27" x14ac:dyDescent="0.25">
      <c r="A11" s="14">
        <v>2027</v>
      </c>
      <c r="B11" s="15">
        <v>230837.52893653238</v>
      </c>
      <c r="C11" s="16">
        <v>34831.702667722588</v>
      </c>
      <c r="D11" s="16">
        <v>56613.737665917273</v>
      </c>
      <c r="E11" s="16">
        <v>113875.43757088757</v>
      </c>
      <c r="F11" s="16">
        <v>800397.58065485978</v>
      </c>
      <c r="G11" s="16">
        <v>0</v>
      </c>
      <c r="H11" s="16">
        <v>100477.33987629536</v>
      </c>
      <c r="I11" s="16">
        <v>49015.815160689381</v>
      </c>
      <c r="J11" s="16">
        <v>26908.909724920599</v>
      </c>
      <c r="K11" s="17">
        <f>SUM(B$3:B11)</f>
        <v>1966466.9081342807</v>
      </c>
      <c r="L11" s="17">
        <f t="shared" si="1"/>
        <v>2080342.3457051683</v>
      </c>
      <c r="M11" s="17">
        <f t="shared" si="0"/>
        <v>1594409.1827514311</v>
      </c>
      <c r="N11" s="17">
        <f>(F11*SUM(Costs!$F$4,Costs!$F$5)+G11*SUM(Costs!$F$4,Costs!$F$5,$W26)+H11*Costs!$F$7+I11*Costs!$F$7+J11*Costs!$F$7) /($Q$9^(A11-$A$3+1))</f>
        <v>163711594.14741614</v>
      </c>
      <c r="O11" s="17">
        <f>(F11*SUM(Costs!$F$4,Costs!$F$5)+G11*SUM(Costs!$F$4,Costs!$F$5,$W27)+H11*Costs!$F$7+I11*Costs!$F$7+J11*Costs!$F$7) /($Q$9^(A11-$A$3+1))</f>
        <v>163711594.14741614</v>
      </c>
    </row>
    <row r="12" spans="1:27" s="27" customFormat="1" x14ac:dyDescent="0.25">
      <c r="A12" s="23">
        <v>2028</v>
      </c>
      <c r="B12" s="24">
        <v>234098.11673734323</v>
      </c>
      <c r="C12" s="25">
        <v>34377.387188780565</v>
      </c>
      <c r="D12" s="25">
        <v>56336.666270039379</v>
      </c>
      <c r="E12" s="25">
        <v>113070.34986327564</v>
      </c>
      <c r="F12" s="25">
        <v>802876.13332960103</v>
      </c>
      <c r="G12" s="25">
        <v>0</v>
      </c>
      <c r="H12" s="25">
        <v>99709.369698086914</v>
      </c>
      <c r="I12" s="25">
        <v>48338.54526551452</v>
      </c>
      <c r="J12" s="25">
        <v>25997.0105614524</v>
      </c>
      <c r="K12" s="26">
        <f>SUM(B$3:B12)</f>
        <v>2200565.0248716241</v>
      </c>
      <c r="L12" s="26">
        <f t="shared" si="1"/>
        <v>2313635.3747348995</v>
      </c>
      <c r="M12" s="26">
        <f t="shared" si="0"/>
        <v>1721562.0036300432</v>
      </c>
      <c r="N12" s="26">
        <f>(F12*SUM(Costs!$F$4,Costs!$F$5)+G12*SUM(Costs!$F$4,Costs!$F$5,$W26)+H12*Costs!$F$7+I12*Costs!$F$7+J12*Costs!$F$7) /($Q$9^(A12-$A$3+1))</f>
        <v>159099955.83730659</v>
      </c>
      <c r="O12" s="26">
        <f>(F12*SUM(Costs!$F$4,Costs!$F$5)+G12*SUM(Costs!$F$4,Costs!$F$5,$W27)+H12*Costs!$F$7+I12*Costs!$F$7+J12*Costs!$F$7) /($Q$9^(A12-$A$3+1))</f>
        <v>159099955.83730659</v>
      </c>
      <c r="V12" s="28"/>
    </row>
    <row r="13" spans="1:27" x14ac:dyDescent="0.25">
      <c r="A13" s="12" t="s">
        <v>0</v>
      </c>
      <c r="B13" s="6">
        <f>SUM(B3:B12)</f>
        <v>2200565.0248716241</v>
      </c>
      <c r="C13" s="6">
        <f>SUM(C3:C12)</f>
        <v>363960.19362348597</v>
      </c>
      <c r="D13" s="6">
        <f t="shared" ref="D13:O13" si="2">SUM(D3:D12)</f>
        <v>577980.14585566404</v>
      </c>
      <c r="E13" s="6">
        <f t="shared" si="2"/>
        <v>1164888.5334556752</v>
      </c>
      <c r="F13" s="6">
        <f t="shared" si="2"/>
        <v>7862611.8892367361</v>
      </c>
      <c r="G13" s="6">
        <f t="shared" si="2"/>
        <v>0</v>
      </c>
      <c r="H13" s="6">
        <f t="shared" si="2"/>
        <v>1008618.2759674514</v>
      </c>
      <c r="I13" s="6">
        <f t="shared" si="2"/>
        <v>514704.4204931719</v>
      </c>
      <c r="J13" s="6">
        <f t="shared" si="2"/>
        <v>303637.47461065388</v>
      </c>
      <c r="K13" s="6">
        <f t="shared" si="2"/>
        <v>11854144.812883422</v>
      </c>
      <c r="L13" s="6">
        <f t="shared" si="2"/>
        <v>13019033.346339095</v>
      </c>
      <c r="M13" s="6">
        <f t="shared" si="2"/>
        <v>10647391.809805546</v>
      </c>
      <c r="N13" s="6">
        <f t="shared" si="2"/>
        <v>1800770628.2363684</v>
      </c>
      <c r="O13" s="6">
        <f t="shared" si="2"/>
        <v>1800770628.2363684</v>
      </c>
      <c r="V13" s="18"/>
    </row>
    <row r="15" spans="1:27" ht="15" x14ac:dyDescent="0.4">
      <c r="B15" s="7" t="s">
        <v>122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205597.79176999925</v>
      </c>
      <c r="C17" s="16">
        <v>37200.634850286762</v>
      </c>
      <c r="D17" s="16">
        <v>58216.784824393304</v>
      </c>
      <c r="E17" s="16">
        <v>117988.66359405493</v>
      </c>
      <c r="F17" s="16">
        <v>700124.77655904542</v>
      </c>
      <c r="G17" s="16">
        <v>61010.290993253577</v>
      </c>
      <c r="H17" s="16">
        <v>100659.32101862661</v>
      </c>
      <c r="I17" s="16">
        <v>55393.386775477607</v>
      </c>
      <c r="J17" s="16">
        <v>35269.963351987724</v>
      </c>
      <c r="K17" s="17">
        <f>SUM(B$17:B17)</f>
        <v>205597.79176999925</v>
      </c>
      <c r="L17" s="17">
        <f>SUM(E17,K17)</f>
        <v>323586.45536405419</v>
      </c>
      <c r="M17" s="17">
        <f t="shared" ref="M17:M26" si="3">L17/($Q$9^(A17-$A$3+1))</f>
        <v>314161.60714956716</v>
      </c>
      <c r="N17" s="17">
        <f>(F17*SUM(Costs!$F$4,Costs!$F$5)+G17*SUM(Costs!$F$4,Costs!$F$5,$W26)+H17*Costs!$F$7+I17*Costs!$F$7+J17*Costs!$F$7) /($Q$9^(A17-$A$3+1))</f>
        <v>205608781.08077091</v>
      </c>
      <c r="O17" s="17">
        <f>(F17*SUM(Costs!$F$4,Costs!$F$5)+G17*SUM(Costs!$F$4,Costs!$F$5,$W27)+H17*Costs!$F$7+I17*Costs!$F$7+J17*Costs!$F$7) /($Q$9^(A17-$A$3+1))</f>
        <v>214593655.79479694</v>
      </c>
      <c r="Q17" s="32">
        <f>M$3-M17</f>
        <v>3162.9585940088728</v>
      </c>
      <c r="R17" s="27">
        <f>B$3-B17</f>
        <v>1387.6456270398921</v>
      </c>
      <c r="S17" s="27">
        <f>D$3-D17</f>
        <v>1544.610261652866</v>
      </c>
      <c r="T17" s="27"/>
      <c r="U17" s="33"/>
      <c r="W17" s="55"/>
    </row>
    <row r="18" spans="1:26" x14ac:dyDescent="0.25">
      <c r="A18" s="14">
        <v>2020</v>
      </c>
      <c r="B18" s="15">
        <v>208108.8827870505</v>
      </c>
      <c r="C18" s="16">
        <v>36535.761043833591</v>
      </c>
      <c r="D18" s="16">
        <v>57392.103339812522</v>
      </c>
      <c r="E18" s="16">
        <v>117111.90114477846</v>
      </c>
      <c r="F18" s="16">
        <v>711026.20928109577</v>
      </c>
      <c r="G18" s="16">
        <v>59566.406248270563</v>
      </c>
      <c r="H18" s="16">
        <v>99847.074101144419</v>
      </c>
      <c r="I18" s="16">
        <v>53787.466177770802</v>
      </c>
      <c r="J18" s="16">
        <v>33747.312683149845</v>
      </c>
      <c r="K18" s="17">
        <f>SUM(B$17:B18)</f>
        <v>413706.67455704976</v>
      </c>
      <c r="L18" s="17">
        <f>SUM(E18,K18)</f>
        <v>530818.57570182823</v>
      </c>
      <c r="M18" s="17">
        <f t="shared" si="3"/>
        <v>500347.41794874944</v>
      </c>
      <c r="N18" s="17">
        <f>(F18*SUM(Costs!$F$4,Costs!$F$5)+G18*SUM(Costs!$F$4,Costs!$F$5,$W26)+H18*Costs!$F$7+I18*Costs!$F$7+J18*Costs!$F$7) /($Q$9^(A18-$A$3+1))</f>
        <v>201005960.57307783</v>
      </c>
      <c r="O18" s="17">
        <f>(F18*SUM(Costs!$F$4,Costs!$F$5)+G18*SUM(Costs!$F$4,Costs!$F$5,$W27)+H18*Costs!$F$7+I18*Costs!$F$7+J18*Costs!$F$7) /($Q$9^(A18-$A$3+1))</f>
        <v>209522694.9719249</v>
      </c>
      <c r="Q18" s="32">
        <f>M$4-M18</f>
        <v>4253.1255167849595</v>
      </c>
      <c r="R18" s="27">
        <f>B$4-B18</f>
        <v>1329.5260934112885</v>
      </c>
      <c r="S18" s="27">
        <f>D$4-D18</f>
        <v>1561.229540985456</v>
      </c>
      <c r="T18" s="27"/>
      <c r="U18" s="33"/>
    </row>
    <row r="19" spans="1:26" x14ac:dyDescent="0.25">
      <c r="A19" s="14">
        <v>2021</v>
      </c>
      <c r="B19" s="15">
        <v>211221.29910797568</v>
      </c>
      <c r="C19" s="16">
        <v>36368.387560984556</v>
      </c>
      <c r="D19" s="16">
        <v>57235.916024505284</v>
      </c>
      <c r="E19" s="16">
        <v>116771.78510262445</v>
      </c>
      <c r="F19" s="16">
        <v>716735.22608114919</v>
      </c>
      <c r="G19" s="16">
        <v>57687.060128484984</v>
      </c>
      <c r="H19" s="16">
        <v>101541.32679516933</v>
      </c>
      <c r="I19" s="16">
        <v>53572.561279810165</v>
      </c>
      <c r="J19" s="16">
        <v>33049.639683080459</v>
      </c>
      <c r="K19" s="17">
        <f>SUM(B$17:B19)</f>
        <v>624927.97366502543</v>
      </c>
      <c r="L19" s="17">
        <f t="shared" ref="L19:L26" si="4">SUM(E19,K19)</f>
        <v>741699.75876764988</v>
      </c>
      <c r="M19" s="17">
        <f t="shared" si="3"/>
        <v>678760.34798046527</v>
      </c>
      <c r="N19" s="17">
        <f>(F19*SUM(Costs!$F$4,Costs!$F$5)+G19*SUM(Costs!$F$4,Costs!$F$5,$W26)+H19*Costs!$F$7+I19*Costs!$F$7+J19*Costs!$F$7) /($Q$9^(A19-$A$3+1))</f>
        <v>195937274.50206968</v>
      </c>
      <c r="O19" s="17">
        <f>(F19*SUM(Costs!$F$4,Costs!$F$5)+G19*SUM(Costs!$F$4,Costs!$F$5,$W27)+H19*Costs!$F$7+I19*Costs!$F$7+J19*Costs!$F$7) /($Q$9^(A19-$A$3+1))</f>
        <v>203945068.395987</v>
      </c>
      <c r="Q19" s="32">
        <f>M$5-M19</f>
        <v>5217.5932810108643</v>
      </c>
      <c r="R19" s="27">
        <f>B$5-B19</f>
        <v>1264.3849212901259</v>
      </c>
      <c r="S19" s="27">
        <f>D$5-D19</f>
        <v>1567.9525471978486</v>
      </c>
      <c r="T19" s="27"/>
      <c r="U19" s="33"/>
    </row>
    <row r="20" spans="1:26" x14ac:dyDescent="0.25">
      <c r="A20" s="14">
        <v>2022</v>
      </c>
      <c r="B20" s="15">
        <v>214170.50975133013</v>
      </c>
      <c r="C20" s="16">
        <v>35950.190166798799</v>
      </c>
      <c r="D20" s="16">
        <v>56785.980547923289</v>
      </c>
      <c r="E20" s="16">
        <v>116106.05150209997</v>
      </c>
      <c r="F20" s="16">
        <v>724026.54003719008</v>
      </c>
      <c r="G20" s="16">
        <v>55968.268154299294</v>
      </c>
      <c r="H20" s="16">
        <v>101688.15435239622</v>
      </c>
      <c r="I20" s="16">
        <v>52714.884182359609</v>
      </c>
      <c r="J20" s="16">
        <v>31964.299838901748</v>
      </c>
      <c r="K20" s="17">
        <f>SUM(B$17:B20)</f>
        <v>839098.48341635556</v>
      </c>
      <c r="L20" s="17">
        <f t="shared" si="4"/>
        <v>955204.53491845552</v>
      </c>
      <c r="M20" s="17">
        <f>L20/($Q$9^(A20-$A$3+1))</f>
        <v>848686.85738537717</v>
      </c>
      <c r="N20" s="17">
        <f>(F20*SUM(Costs!$F$4,Costs!$F$5)+G20*SUM(Costs!$F$4,Costs!$F$5,$W26)+H20*Costs!$F$7+I20*Costs!$F$7+J20*Costs!$F$7) /($Q$9^(A20-$A$3+1))</f>
        <v>191009523.53338811</v>
      </c>
      <c r="O20" s="17">
        <f>(F20*SUM(Costs!$F$4,Costs!$F$5)+G20*SUM(Costs!$F$4,Costs!$F$5,$W27)+H20*Costs!$F$7+I20*Costs!$F$7+J20*Costs!$F$7) /($Q$9^(A20-$A$3+1))</f>
        <v>198552436.96980622</v>
      </c>
      <c r="Q20" s="32">
        <f>M$6-M20</f>
        <v>6086.7251202960033</v>
      </c>
      <c r="R20" s="27">
        <f>B$6-B20</f>
        <v>1205.7304101642221</v>
      </c>
      <c r="S20" s="27">
        <f>D$6-D20</f>
        <v>1592.3572612706848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217192.12092662527</v>
      </c>
      <c r="C21" s="16">
        <v>35528.001511232993</v>
      </c>
      <c r="D21" s="16">
        <v>56350.657647436703</v>
      </c>
      <c r="E21" s="16">
        <v>115399.75609834543</v>
      </c>
      <c r="F21" s="16">
        <v>730605.66742526193</v>
      </c>
      <c r="G21" s="16">
        <v>54236.644844986375</v>
      </c>
      <c r="H21" s="16">
        <v>101645.63088074606</v>
      </c>
      <c r="I21" s="16">
        <v>51882.736728157302</v>
      </c>
      <c r="J21" s="16">
        <v>30896.140317679121</v>
      </c>
      <c r="K21" s="17">
        <f>SUM(B$17:B21)</f>
        <v>1056290.6043429808</v>
      </c>
      <c r="L21" s="17">
        <f t="shared" si="4"/>
        <v>1171690.3604413262</v>
      </c>
      <c r="M21" s="17">
        <f t="shared" si="3"/>
        <v>1010710.3974949354</v>
      </c>
      <c r="N21" s="17">
        <f>(F21*SUM(Costs!$F$4,Costs!$F$5)+G21*SUM(Costs!$F$4,Costs!$F$5,$W26)+H21*Costs!$F$7+I21*Costs!$F$7+J21*Costs!$F$7) /($Q$9^(A21-$A$3+1))</f>
        <v>186036556.17512402</v>
      </c>
      <c r="O21" s="17">
        <f>(F21*SUM(Costs!$F$4,Costs!$F$5)+G21*SUM(Costs!$F$4,Costs!$F$5,$W27)+H21*Costs!$F$7+I21*Costs!$F$7+J21*Costs!$F$7) /($Q$9^(A21-$A$3+1))</f>
        <v>193133197.33940235</v>
      </c>
      <c r="Q21" s="32">
        <f>M$7-M21</f>
        <v>6866.4823955947068</v>
      </c>
      <c r="R21" s="27">
        <f>B$7-B21</f>
        <v>1151.1216228070552</v>
      </c>
      <c r="S21" s="27">
        <f>D$7-D21</f>
        <v>1626.7538204227458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220277.55548063642</v>
      </c>
      <c r="C22" s="16">
        <v>35103.613209521849</v>
      </c>
      <c r="D22" s="16">
        <v>55941.208251853648</v>
      </c>
      <c r="E22" s="16">
        <v>114665.04007741551</v>
      </c>
      <c r="F22" s="16">
        <v>736519.66628586908</v>
      </c>
      <c r="G22" s="16">
        <v>52517.589438871888</v>
      </c>
      <c r="H22" s="16">
        <v>101417.853362954</v>
      </c>
      <c r="I22" s="16">
        <v>51079.318290415511</v>
      </c>
      <c r="J22" s="16">
        <v>29854.62295254381</v>
      </c>
      <c r="K22" s="17">
        <f>SUM(B$17:B22)</f>
        <v>1276568.1598236172</v>
      </c>
      <c r="L22" s="17">
        <f t="shared" si="4"/>
        <v>1391233.1999010327</v>
      </c>
      <c r="M22" s="17">
        <f t="shared" si="3"/>
        <v>1165135.9022927384</v>
      </c>
      <c r="N22" s="17">
        <f>(F22*SUM(Costs!$F$4,Costs!$F$5)+G22*SUM(Costs!$F$4,Costs!$F$5,$W26)+H22*Costs!$F$7+I22*Costs!$F$7+J22*Costs!$F$7) /($Q$9^(A22-$A$3+1))</f>
        <v>181048059.20828921</v>
      </c>
      <c r="O22" s="17">
        <f>(F22*SUM(Costs!$F$4,Costs!$F$5)+G22*SUM(Costs!$F$4,Costs!$F$5,$W27)+H22*Costs!$F$7+I22*Costs!$F$7+J22*Costs!$F$7) /($Q$9^(A22-$A$3+1))</f>
        <v>187719622.17747954</v>
      </c>
      <c r="Q22" s="32">
        <f>M$8-M22</f>
        <v>7567.0989228354301</v>
      </c>
      <c r="R22" s="27">
        <f>B$8-B22</f>
        <v>1101.6007436199288</v>
      </c>
      <c r="S22" s="27">
        <f>D$8-D22</f>
        <v>1668.1802427110306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223172.7380522803</v>
      </c>
      <c r="C23" s="16">
        <v>34429.085667944026</v>
      </c>
      <c r="D23" s="16">
        <v>55224.9744413015</v>
      </c>
      <c r="E23" s="16">
        <v>113626.99316308748</v>
      </c>
      <c r="F23" s="16">
        <v>744051.89130881033</v>
      </c>
      <c r="G23" s="16">
        <v>50981.546872537685</v>
      </c>
      <c r="H23" s="16">
        <v>99557.140122232217</v>
      </c>
      <c r="I23" s="16">
        <v>49631.810931932676</v>
      </c>
      <c r="J23" s="16">
        <v>28478.289573480215</v>
      </c>
      <c r="K23" s="17">
        <f>SUM(B$17:B23)</f>
        <v>1499740.8978758976</v>
      </c>
      <c r="L23" s="17">
        <f t="shared" si="4"/>
        <v>1613367.891038985</v>
      </c>
      <c r="M23" s="17">
        <f t="shared" si="3"/>
        <v>1311815.7368777276</v>
      </c>
      <c r="N23" s="17">
        <f>(F23*SUM(Costs!$F$4,Costs!$F$5)+G23*SUM(Costs!$F$4,Costs!$F$5,$W26)+H23*Costs!$F$7+I23*Costs!$F$7+J23*Costs!$F$7) /($Q$9^(A23-$A$3+1))</f>
        <v>176215398.14607689</v>
      </c>
      <c r="O23" s="17">
        <f>(F23*SUM(Costs!$F$4,Costs!$F$5)+G23*SUM(Costs!$F$4,Costs!$F$5,$W27)+H23*Costs!$F$7+I23*Costs!$F$7+J23*Costs!$F$7) /($Q$9^(A23-$A$3+1))</f>
        <v>182503196.26759231</v>
      </c>
      <c r="Q23" s="32">
        <f>M$9-M23</f>
        <v>8203.319088970311</v>
      </c>
      <c r="R23" s="27">
        <f>B$9-B23</f>
        <v>1060.8266763268621</v>
      </c>
      <c r="S23" s="27">
        <f>D$9-D23</f>
        <v>1717.0440485406216</v>
      </c>
      <c r="T23" s="27"/>
      <c r="U23" s="33"/>
    </row>
    <row r="24" spans="1:26" ht="13.8" thickBot="1" x14ac:dyDescent="0.3">
      <c r="A24" s="14">
        <v>2026</v>
      </c>
      <c r="B24" s="15">
        <v>226364.44348498239</v>
      </c>
      <c r="C24" s="16">
        <v>33996.422388585626</v>
      </c>
      <c r="D24" s="16">
        <v>54836.183165820868</v>
      </c>
      <c r="E24" s="16">
        <v>112826.09461531891</v>
      </c>
      <c r="F24" s="16">
        <v>748578.44967747026</v>
      </c>
      <c r="G24" s="16">
        <v>49320.719747518902</v>
      </c>
      <c r="H24" s="16">
        <v>98975.645133253187</v>
      </c>
      <c r="I24" s="16">
        <v>48858.884914537965</v>
      </c>
      <c r="J24" s="16">
        <v>27495.533988765921</v>
      </c>
      <c r="K24" s="17">
        <f>SUM(B$17:B24)</f>
        <v>1726105.3413608801</v>
      </c>
      <c r="L24" s="17">
        <f t="shared" si="4"/>
        <v>1838931.4359761989</v>
      </c>
      <c r="M24" s="17">
        <f t="shared" si="3"/>
        <v>1451669.4568297975</v>
      </c>
      <c r="N24" s="17">
        <f>(F24*SUM(Costs!$F$4,Costs!$F$5)+G24*SUM(Costs!$F$4,Costs!$F$5,$W26)+H24*Costs!$F$7+I24*Costs!$F$7+J24*Costs!$F$7) /($Q$9^(A24-$A$3+1))</f>
        <v>171215487.75212747</v>
      </c>
      <c r="O24" s="17">
        <f>(F24*SUM(Costs!$F$4,Costs!$F$5)+G24*SUM(Costs!$F$4,Costs!$F$5,$W27)+H24*Costs!$F$7+I24*Costs!$F$7+J24*Costs!$F$7) /($Q$9^(A24-$A$3+1))</f>
        <v>177121274.51441956</v>
      </c>
      <c r="Q24" s="32">
        <f>M$10-M24</f>
        <v>8775.5965452108067</v>
      </c>
      <c r="R24" s="27">
        <f>B$10-B24</f>
        <v>1023.2017422089411</v>
      </c>
      <c r="S24" s="27">
        <f>D$10-D24</f>
        <v>1767.8059538790185</v>
      </c>
      <c r="T24" s="27"/>
      <c r="U24" s="33"/>
    </row>
    <row r="25" spans="1:26" x14ac:dyDescent="0.25">
      <c r="A25" s="14">
        <v>2027</v>
      </c>
      <c r="B25" s="15">
        <v>229847.70793132397</v>
      </c>
      <c r="C25" s="16">
        <v>33805.975597671997</v>
      </c>
      <c r="D25" s="16">
        <v>54790.614494610621</v>
      </c>
      <c r="E25" s="16">
        <v>112265.35659889177</v>
      </c>
      <c r="F25" s="16">
        <v>750162.9750764803</v>
      </c>
      <c r="G25" s="16">
        <v>47577.334255851718</v>
      </c>
      <c r="H25" s="16">
        <v>99732.981960373814</v>
      </c>
      <c r="I25" s="16">
        <v>48759.2131047855</v>
      </c>
      <c r="J25" s="16">
        <v>26885.366236018701</v>
      </c>
      <c r="K25" s="17">
        <f>SUM(B$17:B25)</f>
        <v>1955953.049292204</v>
      </c>
      <c r="L25" s="17">
        <f t="shared" si="4"/>
        <v>2068218.4058910958</v>
      </c>
      <c r="M25" s="17">
        <f t="shared" si="3"/>
        <v>1585117.1924159988</v>
      </c>
      <c r="N25" s="17">
        <f>(F25*SUM(Costs!$F$4,Costs!$F$5)+G25*SUM(Costs!$F$4,Costs!$F$5,$W26)+H25*Costs!$F$7+I25*Costs!$F$7+J25*Costs!$F$7) /($Q$9^(A25-$A$3+1))</f>
        <v>166096728.06089038</v>
      </c>
      <c r="O25" s="17">
        <f>(F25*SUM(Costs!$F$4,Costs!$F$5)+G25*SUM(Costs!$F$4,Costs!$F$5,$W27)+H25*Costs!$F$7+I25*Costs!$F$7+J25*Costs!$F$7) /($Q$9^(A25-$A$3+1))</f>
        <v>171627824.57366949</v>
      </c>
      <c r="Q25" s="32">
        <f>M$11-M25</f>
        <v>9291.9903354323469</v>
      </c>
      <c r="R25" s="27">
        <f>B$11-B25</f>
        <v>989.82100520841777</v>
      </c>
      <c r="S25" s="27">
        <f>D$11-D25</f>
        <v>1823.1231713066518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233132.75924558772</v>
      </c>
      <c r="C26" s="25">
        <v>33370.534983882797</v>
      </c>
      <c r="D26" s="25">
        <v>54450.752381270657</v>
      </c>
      <c r="E26" s="25">
        <v>111425.29876241254</v>
      </c>
      <c r="F26" s="25">
        <v>753503.05777088157</v>
      </c>
      <c r="G26" s="25">
        <v>46061.444714395526</v>
      </c>
      <c r="H26" s="25">
        <v>98893.514116861974</v>
      </c>
      <c r="I26" s="25">
        <v>48014.300594234199</v>
      </c>
      <c r="J26" s="25">
        <v>25956.973137604928</v>
      </c>
      <c r="K26" s="26">
        <f>SUM(B$17:B26)</f>
        <v>2189085.8085377915</v>
      </c>
      <c r="L26" s="26">
        <f t="shared" si="4"/>
        <v>2300511.1073002042</v>
      </c>
      <c r="M26" s="26">
        <f t="shared" si="3"/>
        <v>1711796.3160944092</v>
      </c>
      <c r="N26" s="26">
        <f>(F26*SUM(Costs!$F$4,Costs!$F$5)+G26*SUM(Costs!$F$4,Costs!$F$5,$W26)+H26*Costs!$F$7+I26*Costs!$F$7+J26*Costs!$F$7) /($Q$9^(A26-$A$3+1))</f>
        <v>161192147.87244308</v>
      </c>
      <c r="O26" s="26">
        <f>(F26*SUM(Costs!$F$4,Costs!$F$5)+G26*SUM(Costs!$F$4,Costs!$F$5,$W27)+H26*Costs!$F$7+I26*Costs!$F$7+J26*Costs!$F$7) /($Q$9^(A26-$A$3+1))</f>
        <v>166391047.85364348</v>
      </c>
      <c r="Q26" s="35">
        <f>M$12-M26</f>
        <v>9765.6875356340315</v>
      </c>
      <c r="R26" s="27">
        <f>B$12-B26</f>
        <v>965.35749175550882</v>
      </c>
      <c r="S26" s="27">
        <f>D$12-D26</f>
        <v>1885.9138887687222</v>
      </c>
      <c r="T26" s="42"/>
      <c r="U26" s="36"/>
      <c r="W26" s="43">
        <v>81.748560838261255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2189085.8085377915</v>
      </c>
      <c r="C27" s="6">
        <f>SUM(C17:C26)</f>
        <v>352288.60698074294</v>
      </c>
      <c r="D27" s="6">
        <f t="shared" si="5"/>
        <v>561225.17511892843</v>
      </c>
      <c r="E27" s="6">
        <f t="shared" si="5"/>
        <v>1148186.9406590296</v>
      </c>
      <c r="F27" s="6">
        <f t="shared" si="5"/>
        <v>7315334.4595032539</v>
      </c>
      <c r="G27" s="6">
        <f t="shared" si="5"/>
        <v>534927.30539847061</v>
      </c>
      <c r="H27" s="6">
        <f t="shared" si="5"/>
        <v>1003958.6418437578</v>
      </c>
      <c r="I27" s="6">
        <f t="shared" si="5"/>
        <v>513694.56297948136</v>
      </c>
      <c r="J27" s="6">
        <f t="shared" si="5"/>
        <v>303598.14176321251</v>
      </c>
      <c r="K27" s="6">
        <f t="shared" si="5"/>
        <v>11787074.784641802</v>
      </c>
      <c r="L27" s="6">
        <f t="shared" si="5"/>
        <v>12935261.72530083</v>
      </c>
      <c r="M27" s="6">
        <f t="shared" si="5"/>
        <v>10578201.232469765</v>
      </c>
      <c r="N27" s="6">
        <f t="shared" si="5"/>
        <v>1835365916.9042578</v>
      </c>
      <c r="O27" s="6">
        <f t="shared" si="5"/>
        <v>1905110018.8587217</v>
      </c>
      <c r="Q27" s="6">
        <f>SUM(Q17:Q26)</f>
        <v>69190.577335778333</v>
      </c>
      <c r="R27" s="37">
        <f>SUM(R17:R26)</f>
        <v>11479.216333832243</v>
      </c>
      <c r="S27" s="37">
        <f>SUM(S17:S26)</f>
        <v>16754.970736735646</v>
      </c>
      <c r="T27" s="18">
        <f>(N27-N$13)/Q27</f>
        <v>500.00000000000273</v>
      </c>
      <c r="U27" s="18">
        <f>(O27-O$13)/Q27</f>
        <v>1507.9999999999941</v>
      </c>
      <c r="W27" s="44">
        <v>233.43478958400098</v>
      </c>
      <c r="X27" s="50">
        <f>$Q$3</f>
        <v>1508</v>
      </c>
      <c r="Y27" s="22" t="s">
        <v>61</v>
      </c>
    </row>
  </sheetData>
  <dataConsolidate/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8"/>
  <sheetViews>
    <sheetView zoomScale="90" zoomScaleNormal="90" workbookViewId="0">
      <pane xSplit="1" ySplit="2" topLeftCell="J3" activePane="bottomRight" state="frozen"/>
      <selection activeCell="N29" sqref="N29:O30"/>
      <selection pane="topRight" activeCell="N29" sqref="N29:O30"/>
      <selection pane="bottomLeft" activeCell="N29" sqref="N29:O30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57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232659.42799582076</v>
      </c>
      <c r="C3" s="16">
        <v>80654.212102256075</v>
      </c>
      <c r="D3" s="16">
        <v>135689.29134907507</v>
      </c>
      <c r="E3" s="16">
        <v>255998.82423849893</v>
      </c>
      <c r="F3" s="16">
        <v>1631245.0348320534</v>
      </c>
      <c r="G3" s="16">
        <v>0</v>
      </c>
      <c r="H3" s="16">
        <v>217107.39434163776</v>
      </c>
      <c r="I3" s="16">
        <v>116972.71311665501</v>
      </c>
      <c r="J3" s="16">
        <v>74670.174016610719</v>
      </c>
      <c r="K3" s="17">
        <f>SUM(B$3:B3)</f>
        <v>232659.42799582076</v>
      </c>
      <c r="L3" s="17">
        <f>SUM(E3,K3)</f>
        <v>488658.25223431969</v>
      </c>
      <c r="M3" s="17">
        <f t="shared" ref="M3:M12" si="0">L3/($Q$9^(A3-$A$3+1))</f>
        <v>474425.4876061356</v>
      </c>
      <c r="N3" s="17">
        <f>(F3*SUM(Costs!$F$4,Costs!$F$5)+G3*SUM(Costs!$F$4,Costs!$F$5,$W26)+H3*Costs!$F$7+I3*Costs!$F$7+J3*Costs!$F$7) /($Q$9^(A3-$A$3+1))</f>
        <v>430083535.53758627</v>
      </c>
      <c r="O3" s="17">
        <f>(F3*SUM(Costs!$F$4,Costs!$F$5)+G3*SUM(Costs!$F$4,Costs!$F$5,$W27)+H3*Costs!$F$7+I3*Costs!$F$7+J3*Costs!$F$7) /($Q$9^(A3-$A$3+1))</f>
        <v>430083535.53758627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234547.53457003826</v>
      </c>
      <c r="C4" s="16">
        <v>79695.495037228247</v>
      </c>
      <c r="D4" s="16">
        <v>135022.43618382237</v>
      </c>
      <c r="E4" s="16">
        <v>255938.08977660938</v>
      </c>
      <c r="F4" s="16">
        <v>1665262.2276648013</v>
      </c>
      <c r="G4" s="16">
        <v>0</v>
      </c>
      <c r="H4" s="16">
        <v>217114.67005239014</v>
      </c>
      <c r="I4" s="16">
        <v>114420.53812208064</v>
      </c>
      <c r="J4" s="16">
        <v>71963.539985305091</v>
      </c>
      <c r="K4" s="17">
        <f>SUM(B$3:B4)</f>
        <v>467206.96256585902</v>
      </c>
      <c r="L4" s="17">
        <f t="shared" ref="L4:L12" si="1">SUM(E4,K4)</f>
        <v>723145.05234246841</v>
      </c>
      <c r="M4" s="17">
        <f t="shared" si="0"/>
        <v>681633.56804832537</v>
      </c>
      <c r="N4" s="17">
        <f>(F4*SUM(Costs!$F$4,Costs!$F$5)+G4*SUM(Costs!$F$4,Costs!$F$5,$W26)+H4*Costs!$F$7+I4*Costs!$F$7+J4*Costs!$F$7) /($Q$9^(A4-$A$3+1))</f>
        <v>424247712.49461842</v>
      </c>
      <c r="O4" s="17">
        <f>(F4*SUM(Costs!$F$4,Costs!$F$5)+G4*SUM(Costs!$F$4,Costs!$F$5,$W27)+H4*Costs!$F$7+I4*Costs!$F$7+J4*Costs!$F$7) /($Q$9^(A4-$A$3+1))</f>
        <v>424247712.49461842</v>
      </c>
    </row>
    <row r="5" spans="1:27" x14ac:dyDescent="0.25">
      <c r="A5" s="14">
        <v>2021</v>
      </c>
      <c r="B5" s="15">
        <v>237568.52698037695</v>
      </c>
      <c r="C5" s="16">
        <v>79768.095018606022</v>
      </c>
      <c r="D5" s="16">
        <v>135822.62887830334</v>
      </c>
      <c r="E5" s="16">
        <v>257061.6642030144</v>
      </c>
      <c r="F5" s="16">
        <v>1687932.3865544435</v>
      </c>
      <c r="G5" s="16">
        <v>0</v>
      </c>
      <c r="H5" s="16">
        <v>222661.90293392492</v>
      </c>
      <c r="I5" s="16">
        <v>114852.60674853862</v>
      </c>
      <c r="J5" s="16">
        <v>70987.666974115273</v>
      </c>
      <c r="K5" s="17">
        <f>SUM(B$3:B5)</f>
        <v>704775.489546236</v>
      </c>
      <c r="L5" s="17">
        <f t="shared" si="1"/>
        <v>961837.15374925034</v>
      </c>
      <c r="M5" s="17">
        <f t="shared" si="0"/>
        <v>880217.24890960904</v>
      </c>
      <c r="N5" s="17">
        <f>(F5*SUM(Costs!$F$4,Costs!$F$5)+G5*SUM(Costs!$F$4,Costs!$F$5,$W26)+H5*Costs!$F$7+I5*Costs!$F$7+J5*Costs!$F$7) /($Q$9^(A5-$A$3+1))</f>
        <v>417428697.24090672</v>
      </c>
      <c r="O5" s="17">
        <f>(F5*SUM(Costs!$F$4,Costs!$F$5)+G5*SUM(Costs!$F$4,Costs!$F$5,$W27)+H5*Costs!$F$7+I5*Costs!$F$7+J5*Costs!$F$7) /($Q$9^(A5-$A$3+1))</f>
        <v>417428697.24090672</v>
      </c>
      <c r="Q5" s="13" t="s">
        <v>21</v>
      </c>
    </row>
    <row r="6" spans="1:27" x14ac:dyDescent="0.25">
      <c r="A6" s="14">
        <v>2022</v>
      </c>
      <c r="B6" s="15">
        <v>240184.5855833863</v>
      </c>
      <c r="C6" s="16">
        <v>79351.151981407544</v>
      </c>
      <c r="D6" s="16">
        <v>136026.93335454966</v>
      </c>
      <c r="E6" s="16">
        <v>257588.19061035462</v>
      </c>
      <c r="F6" s="16">
        <v>1715158.8937212152</v>
      </c>
      <c r="G6" s="16">
        <v>0</v>
      </c>
      <c r="H6" s="16">
        <v>224865.57981528851</v>
      </c>
      <c r="I6" s="16">
        <v>113947.87822159767</v>
      </c>
      <c r="J6" s="16">
        <v>69182.555210061153</v>
      </c>
      <c r="K6" s="17">
        <f>SUM(B$3:B6)</f>
        <v>944960.07512962236</v>
      </c>
      <c r="L6" s="17">
        <f t="shared" si="1"/>
        <v>1202548.2657399769</v>
      </c>
      <c r="M6" s="17">
        <f t="shared" si="0"/>
        <v>1068448.5586034434</v>
      </c>
      <c r="N6" s="17">
        <f>(F6*SUM(Costs!$F$4,Costs!$F$5)+G6*SUM(Costs!$F$4,Costs!$F$5,$W26)+H6*Costs!$F$7+I6*Costs!$F$7+J6*Costs!$F$7) /($Q$9^(A6-$A$3+1))</f>
        <v>410828539.41349089</v>
      </c>
      <c r="O6" s="17">
        <f>(F6*SUM(Costs!$F$4,Costs!$F$5)+G6*SUM(Costs!$F$4,Costs!$F$5,$W27)+H6*Costs!$F$7+I6*Costs!$F$7+J6*Costs!$F$7) /($Q$9^(A6-$A$3+1))</f>
        <v>410828539.41349089</v>
      </c>
      <c r="Q6" s="38">
        <v>500</v>
      </c>
    </row>
    <row r="7" spans="1:27" x14ac:dyDescent="0.25">
      <c r="A7" s="14">
        <v>2023</v>
      </c>
      <c r="B7" s="15">
        <v>242888.9014790589</v>
      </c>
      <c r="C7" s="16">
        <v>78948.166037454226</v>
      </c>
      <c r="D7" s="16">
        <v>136301.74910225297</v>
      </c>
      <c r="E7" s="16">
        <v>258103.32188144868</v>
      </c>
      <c r="F7" s="16">
        <v>1741528.367938013</v>
      </c>
      <c r="G7" s="16">
        <v>0</v>
      </c>
      <c r="H7" s="16">
        <v>226710.10124796853</v>
      </c>
      <c r="I7" s="16">
        <v>113131.66203982662</v>
      </c>
      <c r="J7" s="16">
        <v>67404.964273324571</v>
      </c>
      <c r="K7" s="17">
        <f>SUM(B$3:B7)</f>
        <v>1187848.9766086813</v>
      </c>
      <c r="L7" s="17">
        <f t="shared" si="1"/>
        <v>1445952.2984901299</v>
      </c>
      <c r="M7" s="17">
        <f t="shared" si="0"/>
        <v>1247291.1544780589</v>
      </c>
      <c r="N7" s="17">
        <f>(F7*SUM(Costs!$F$4,Costs!$F$5)+G7*SUM(Costs!$F$4,Costs!$F$5,$W26)+H7*Costs!$F$7+I7*Costs!$F$7+J7*Costs!$F$7) /($Q$9^(A7-$A$3+1))</f>
        <v>404054173.67011929</v>
      </c>
      <c r="O7" s="17">
        <f>(F7*SUM(Costs!$F$4,Costs!$F$5)+G7*SUM(Costs!$F$4,Costs!$F$5,$W27)+H7*Costs!$F$7+I7*Costs!$F$7+J7*Costs!$F$7) /($Q$9^(A7-$A$3+1))</f>
        <v>404054173.67011929</v>
      </c>
      <c r="R7" s="20"/>
    </row>
    <row r="8" spans="1:27" x14ac:dyDescent="0.25">
      <c r="A8" s="14">
        <v>2024</v>
      </c>
      <c r="B8" s="15">
        <v>245672.71302328116</v>
      </c>
      <c r="C8" s="16">
        <v>78561.570598762832</v>
      </c>
      <c r="D8" s="16">
        <v>136665.03936161505</v>
      </c>
      <c r="E8" s="16">
        <v>258630.81155025828</v>
      </c>
      <c r="F8" s="16">
        <v>1767228.6546888524</v>
      </c>
      <c r="G8" s="16">
        <v>0</v>
      </c>
      <c r="H8" s="16">
        <v>228183.59241687413</v>
      </c>
      <c r="I8" s="16">
        <v>112399.82169193227</v>
      </c>
      <c r="J8" s="16">
        <v>65671.761657095791</v>
      </c>
      <c r="K8" s="17">
        <f>SUM(B$3:B8)</f>
        <v>1433521.6896319625</v>
      </c>
      <c r="L8" s="17">
        <f t="shared" si="1"/>
        <v>1692152.5011822206</v>
      </c>
      <c r="M8" s="17">
        <f t="shared" si="0"/>
        <v>1417151.0796479788</v>
      </c>
      <c r="N8" s="17">
        <f>(F8*SUM(Costs!$F$4,Costs!$F$5)+G8*SUM(Costs!$F$4,Costs!$F$5,$W26)+H8*Costs!$F$7+I8*Costs!$F$7+J8*Costs!$F$7) /($Q$9^(A8-$A$3+1))</f>
        <v>397164016.06869966</v>
      </c>
      <c r="O8" s="17">
        <f>(F8*SUM(Costs!$F$4,Costs!$F$5)+G8*SUM(Costs!$F$4,Costs!$F$5,$W27)+H8*Costs!$F$7+I8*Costs!$F$7+J8*Costs!$F$7) /($Q$9^(A8-$A$3+1))</f>
        <v>397164016.06869966</v>
      </c>
      <c r="Q8" s="13" t="s">
        <v>6</v>
      </c>
    </row>
    <row r="9" spans="1:27" x14ac:dyDescent="0.25">
      <c r="A9" s="14">
        <v>2025</v>
      </c>
      <c r="B9" s="15">
        <v>248002.76623092254</v>
      </c>
      <c r="C9" s="16">
        <v>77663.262186007516</v>
      </c>
      <c r="D9" s="16">
        <v>136350.71169936573</v>
      </c>
      <c r="E9" s="16">
        <v>258567.84031667322</v>
      </c>
      <c r="F9" s="16">
        <v>1797717.4839403199</v>
      </c>
      <c r="G9" s="16">
        <v>0</v>
      </c>
      <c r="H9" s="16">
        <v>225968.98955783664</v>
      </c>
      <c r="I9" s="16">
        <v>110255.10994428977</v>
      </c>
      <c r="J9" s="16">
        <v>63190.868413471326</v>
      </c>
      <c r="K9" s="17">
        <f>SUM(B$3:B9)</f>
        <v>1681524.4558628849</v>
      </c>
      <c r="L9" s="17">
        <f t="shared" si="1"/>
        <v>1940092.2961795582</v>
      </c>
      <c r="M9" s="17">
        <f t="shared" si="0"/>
        <v>1577472.5772462345</v>
      </c>
      <c r="N9" s="17">
        <f>(F9*SUM(Costs!$F$4,Costs!$F$5)+G9*SUM(Costs!$F$4,Costs!$F$5,$W26)+H9*Costs!$F$7+I9*Costs!$F$7+J9*Costs!$F$7) /($Q$9^(A9-$A$3+1))</f>
        <v>390499691.04965079</v>
      </c>
      <c r="O9" s="17">
        <f>(F9*SUM(Costs!$F$4,Costs!$F$5)+G9*SUM(Costs!$F$4,Costs!$F$5,$W27)+H9*Costs!$F$7+I9*Costs!$F$7+J9*Costs!$F$7) /($Q$9^(A9-$A$3+1))</f>
        <v>390499691.04965079</v>
      </c>
      <c r="Q9" s="19">
        <v>1.03</v>
      </c>
    </row>
    <row r="10" spans="1:27" x14ac:dyDescent="0.25">
      <c r="A10" s="14">
        <v>2026</v>
      </c>
      <c r="B10" s="15">
        <v>250915.81021688328</v>
      </c>
      <c r="C10" s="16">
        <v>77295.201512913787</v>
      </c>
      <c r="D10" s="16">
        <v>136807.04115983288</v>
      </c>
      <c r="E10" s="16">
        <v>259076.07960659871</v>
      </c>
      <c r="F10" s="16">
        <v>1821859.1335776926</v>
      </c>
      <c r="G10" s="16">
        <v>0</v>
      </c>
      <c r="H10" s="16">
        <v>226702.89509094134</v>
      </c>
      <c r="I10" s="16">
        <v>109612.45440285327</v>
      </c>
      <c r="J10" s="16">
        <v>61556.942588549762</v>
      </c>
      <c r="K10" s="17">
        <f>SUM(B$3:B10)</f>
        <v>1932440.2660797681</v>
      </c>
      <c r="L10" s="17">
        <f t="shared" si="1"/>
        <v>2191516.3456863668</v>
      </c>
      <c r="M10" s="17">
        <f t="shared" si="0"/>
        <v>1730003.2404347493</v>
      </c>
      <c r="N10" s="17">
        <f>(F10*SUM(Costs!$F$4,Costs!$F$5)+G10*SUM(Costs!$F$4,Costs!$F$5,$W26)+H10*Costs!$F$7+I10*Costs!$F$7+J10*Costs!$F$7) /($Q$9^(A10-$A$3+1))</f>
        <v>383370465.4074837</v>
      </c>
      <c r="O10" s="17">
        <f>(F10*SUM(Costs!$F$4,Costs!$F$5)+G10*SUM(Costs!$F$4,Costs!$F$5,$W27)+H10*Costs!$F$7+I10*Costs!$F$7+J10*Costs!$F$7) /($Q$9^(A10-$A$3+1))</f>
        <v>383370465.4074837</v>
      </c>
    </row>
    <row r="11" spans="1:27" x14ac:dyDescent="0.25">
      <c r="A11" s="14">
        <v>2027</v>
      </c>
      <c r="B11" s="15">
        <v>254421.39299211974</v>
      </c>
      <c r="C11" s="16">
        <v>77474.041294337701</v>
      </c>
      <c r="D11" s="16">
        <v>138100.77425225682</v>
      </c>
      <c r="E11" s="16">
        <v>260182.58626936859</v>
      </c>
      <c r="F11" s="16">
        <v>1839761.8674786855</v>
      </c>
      <c r="G11" s="16">
        <v>0</v>
      </c>
      <c r="H11" s="16">
        <v>230607.50693010452</v>
      </c>
      <c r="I11" s="16">
        <v>110505.96485414192</v>
      </c>
      <c r="J11" s="16">
        <v>60744.292053555095</v>
      </c>
      <c r="K11" s="17">
        <f>SUM(B$3:B11)</f>
        <v>2186861.6590718878</v>
      </c>
      <c r="L11" s="17">
        <f t="shared" si="1"/>
        <v>2447044.2453412563</v>
      </c>
      <c r="M11" s="17">
        <f t="shared" si="0"/>
        <v>1875455.6544147222</v>
      </c>
      <c r="N11" s="17">
        <f>(F11*SUM(Costs!$F$4,Costs!$F$5)+G11*SUM(Costs!$F$4,Costs!$F$5,$W26)+H11*Costs!$F$7+I11*Costs!$F$7+J11*Costs!$F$7) /($Q$9^(A11-$A$3+1))</f>
        <v>375870863.39257109</v>
      </c>
      <c r="O11" s="17">
        <f>(F11*SUM(Costs!$F$4,Costs!$F$5)+G11*SUM(Costs!$F$4,Costs!$F$5,$W27)+H11*Costs!$F$7+I11*Costs!$F$7+J11*Costs!$F$7) /($Q$9^(A11-$A$3+1))</f>
        <v>375870863.39257109</v>
      </c>
    </row>
    <row r="12" spans="1:27" s="27" customFormat="1" x14ac:dyDescent="0.25">
      <c r="A12" s="23">
        <v>2028</v>
      </c>
      <c r="B12" s="24">
        <v>257461.18600845695</v>
      </c>
      <c r="C12" s="25">
        <v>77144.512974489393</v>
      </c>
      <c r="D12" s="25">
        <v>138745.94532319106</v>
      </c>
      <c r="E12" s="25">
        <v>260739.23006290733</v>
      </c>
      <c r="F12" s="25">
        <v>1862890.8698300915</v>
      </c>
      <c r="G12" s="25">
        <v>0</v>
      </c>
      <c r="H12" s="25">
        <v>230849.99416288553</v>
      </c>
      <c r="I12" s="25">
        <v>109949.63518671066</v>
      </c>
      <c r="J12" s="25">
        <v>59213.453853914216</v>
      </c>
      <c r="K12" s="26">
        <f>SUM(B$3:B12)</f>
        <v>2444322.8450803449</v>
      </c>
      <c r="L12" s="26">
        <f t="shared" si="1"/>
        <v>2705062.0751432525</v>
      </c>
      <c r="M12" s="26">
        <f t="shared" si="0"/>
        <v>2012820.2295320022</v>
      </c>
      <c r="N12" s="26">
        <f>(F12*SUM(Costs!$F$4,Costs!$F$5)+G12*SUM(Costs!$F$4,Costs!$F$5,$W26)+H12*Costs!$F$7+I12*Costs!$F$7+J12*Costs!$F$7) /($Q$9^(A12-$A$3+1))</f>
        <v>368713864.18415356</v>
      </c>
      <c r="O12" s="26">
        <f>(F12*SUM(Costs!$F$4,Costs!$F$5)+G12*SUM(Costs!$F$4,Costs!$F$5,$W27)+H12*Costs!$F$7+I12*Costs!$F$7+J12*Costs!$F$7) /($Q$9^(A12-$A$3+1))</f>
        <v>368713864.18415356</v>
      </c>
      <c r="V12" s="28"/>
    </row>
    <row r="13" spans="1:27" x14ac:dyDescent="0.25">
      <c r="A13" s="12" t="s">
        <v>0</v>
      </c>
      <c r="B13" s="6">
        <f>SUM(B3:B12)</f>
        <v>2444322.8450803449</v>
      </c>
      <c r="C13" s="6">
        <f>SUM(C3:C12)</f>
        <v>786555.70874346327</v>
      </c>
      <c r="D13" s="6">
        <f t="shared" ref="D13:O13" si="2">SUM(D3:D12)</f>
        <v>1365532.5506642652</v>
      </c>
      <c r="E13" s="6">
        <f t="shared" si="2"/>
        <v>2581886.6385157323</v>
      </c>
      <c r="F13" s="6">
        <f t="shared" si="2"/>
        <v>17530584.920226168</v>
      </c>
      <c r="G13" s="6">
        <f t="shared" si="2"/>
        <v>0</v>
      </c>
      <c r="H13" s="6">
        <f t="shared" si="2"/>
        <v>2250772.6265498521</v>
      </c>
      <c r="I13" s="6">
        <f t="shared" si="2"/>
        <v>1126048.3843286266</v>
      </c>
      <c r="J13" s="6">
        <f t="shared" si="2"/>
        <v>664586.21902600303</v>
      </c>
      <c r="K13" s="6">
        <f t="shared" si="2"/>
        <v>13216121.847573068</v>
      </c>
      <c r="L13" s="6">
        <f t="shared" si="2"/>
        <v>15798008.486088801</v>
      </c>
      <c r="M13" s="6">
        <f t="shared" si="2"/>
        <v>12964918.798921259</v>
      </c>
      <c r="N13" s="6">
        <f t="shared" si="2"/>
        <v>4002261558.45928</v>
      </c>
      <c r="O13" s="6">
        <f t="shared" si="2"/>
        <v>4002261558.45928</v>
      </c>
      <c r="V13" s="18"/>
    </row>
    <row r="15" spans="1:27" ht="15" x14ac:dyDescent="0.4">
      <c r="B15" s="7" t="s">
        <v>114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229041.11071405743</v>
      </c>
      <c r="C17" s="16">
        <v>77032.97184899413</v>
      </c>
      <c r="D17" s="16">
        <v>128867.13910881315</v>
      </c>
      <c r="E17" s="16">
        <v>251314.0746306137</v>
      </c>
      <c r="F17" s="16">
        <v>1440650.9032702514</v>
      </c>
      <c r="G17" s="16">
        <v>189557.08382249804</v>
      </c>
      <c r="H17" s="16">
        <v>216715.35377202684</v>
      </c>
      <c r="I17" s="16">
        <v>116932.89044147689</v>
      </c>
      <c r="J17" s="16">
        <v>74657.173744444066</v>
      </c>
      <c r="K17" s="17">
        <f>SUM(B$17:B17)</f>
        <v>229041.11071405743</v>
      </c>
      <c r="L17" s="17">
        <f>SUM(E17,K17)</f>
        <v>480355.18534467113</v>
      </c>
      <c r="M17" s="17">
        <f t="shared" ref="M17:M26" si="3">L17/($Q$9^(A17-$A$3+1))</f>
        <v>466364.25761618552</v>
      </c>
      <c r="N17" s="17">
        <f>(F17*SUM(Costs!$F$4,Costs!$F$5)+G17*SUM(Costs!$F$4,Costs!$F$5,$W26)+H17*Costs!$F$7+I17*Costs!$F$7+J17*Costs!$F$7) /($Q$9^(A17-$A$3+1))</f>
        <v>447542626.98483694</v>
      </c>
      <c r="O17" s="17">
        <f>(F17*SUM(Costs!$F$4,Costs!$F$5)+G17*SUM(Costs!$F$4,Costs!$F$5,$W27)+H17*Costs!$F$7+I17*Costs!$F$7+J17*Costs!$F$7) /($Q$9^(A17-$A$3+1))</f>
        <v>474074609.53046817</v>
      </c>
      <c r="Q17" s="32">
        <f>M$3-M17</f>
        <v>8061.2299899500795</v>
      </c>
      <c r="R17" s="27">
        <f>B$3-B17</f>
        <v>3618.3172817633313</v>
      </c>
      <c r="S17" s="27">
        <f>D$3-D17</f>
        <v>6822.1522402619157</v>
      </c>
      <c r="T17" s="27"/>
      <c r="U17" s="33"/>
      <c r="W17" s="55"/>
    </row>
    <row r="18" spans="1:26" x14ac:dyDescent="0.25">
      <c r="A18" s="14">
        <v>2020</v>
      </c>
      <c r="B18" s="15">
        <v>230971.68976588373</v>
      </c>
      <c r="C18" s="16">
        <v>76109.027106901092</v>
      </c>
      <c r="D18" s="16">
        <v>127912.34367995504</v>
      </c>
      <c r="E18" s="16">
        <v>251131.80380990574</v>
      </c>
      <c r="F18" s="16">
        <v>1476384.4949754984</v>
      </c>
      <c r="G18" s="16">
        <v>185408.02405286601</v>
      </c>
      <c r="H18" s="16">
        <v>215931.34081149191</v>
      </c>
      <c r="I18" s="16">
        <v>114278.81246781713</v>
      </c>
      <c r="J18" s="16">
        <v>71921.77386989622</v>
      </c>
      <c r="K18" s="17">
        <f>SUM(B$17:B18)</f>
        <v>460012.80047994119</v>
      </c>
      <c r="L18" s="17">
        <f>SUM(E18,K18)</f>
        <v>711144.60428984696</v>
      </c>
      <c r="M18" s="17">
        <f t="shared" si="3"/>
        <v>670321.9948061523</v>
      </c>
      <c r="N18" s="17">
        <f>(F18*SUM(Costs!$F$4,Costs!$F$5)+G18*SUM(Costs!$F$4,Costs!$F$5,$W26)+H18*Costs!$F$7+I18*Costs!$F$7+J18*Costs!$F$7) /($Q$9^(A18-$A$3+1))</f>
        <v>440152435.09418041</v>
      </c>
      <c r="O18" s="17">
        <f>(F18*SUM(Costs!$F$4,Costs!$F$5)+G18*SUM(Costs!$F$4,Costs!$F$5,$W27)+H18*Costs!$F$7+I18*Costs!$F$7+J18*Costs!$F$7) /($Q$9^(A18-$A$3+1))</f>
        <v>465347819.27681231</v>
      </c>
      <c r="Q18" s="32">
        <f>M$4-M18</f>
        <v>11311.573242173065</v>
      </c>
      <c r="R18" s="27">
        <f>B$4-B18</f>
        <v>3575.8448041545344</v>
      </c>
      <c r="S18" s="27">
        <f>D$4-D18</f>
        <v>7110.0925038673304</v>
      </c>
      <c r="T18" s="27"/>
      <c r="U18" s="33"/>
    </row>
    <row r="19" spans="1:26" x14ac:dyDescent="0.25">
      <c r="A19" s="14">
        <v>2021</v>
      </c>
      <c r="B19" s="15">
        <v>234051.48093302711</v>
      </c>
      <c r="C19" s="16">
        <v>76230.621719014904</v>
      </c>
      <c r="D19" s="16">
        <v>128456.05309051485</v>
      </c>
      <c r="E19" s="16">
        <v>252113.40549915915</v>
      </c>
      <c r="F19" s="16">
        <v>1501751.6321491385</v>
      </c>
      <c r="G19" s="16">
        <v>180009.6935069827</v>
      </c>
      <c r="H19" s="16">
        <v>220724.02549305186</v>
      </c>
      <c r="I19" s="16">
        <v>114565.14767282897</v>
      </c>
      <c r="J19" s="16">
        <v>70911.520229107904</v>
      </c>
      <c r="K19" s="17">
        <f>SUM(B$17:B19)</f>
        <v>694064.2814129683</v>
      </c>
      <c r="L19" s="17">
        <f t="shared" ref="L19:L26" si="4">SUM(E19,K19)</f>
        <v>946177.68691212742</v>
      </c>
      <c r="M19" s="17">
        <f t="shared" si="3"/>
        <v>865886.61844369862</v>
      </c>
      <c r="N19" s="17">
        <f>(F19*SUM(Costs!$F$4,Costs!$F$5)+G19*SUM(Costs!$F$4,Costs!$F$5,$W26)+H19*Costs!$F$7+I19*Costs!$F$7+J19*Costs!$F$7) /($Q$9^(A19-$A$3+1))</f>
        <v>431685443.92481232</v>
      </c>
      <c r="O19" s="17">
        <f>(F19*SUM(Costs!$F$4,Costs!$F$5)+G19*SUM(Costs!$F$4,Costs!$F$5,$W27)+H19*Costs!$F$7+I19*Costs!$F$7+J19*Costs!$F$7) /($Q$9^(A19-$A$3+1))</f>
        <v>455434761.07564139</v>
      </c>
      <c r="Q19" s="32">
        <f>M$5-M19</f>
        <v>14330.630465910421</v>
      </c>
      <c r="R19" s="27">
        <f>B$5-B19</f>
        <v>3517.0460473498388</v>
      </c>
      <c r="S19" s="27">
        <f>D$5-D19</f>
        <v>7366.5757877884898</v>
      </c>
      <c r="T19" s="27"/>
      <c r="U19" s="33"/>
    </row>
    <row r="20" spans="1:26" x14ac:dyDescent="0.25">
      <c r="A20" s="14">
        <v>2022</v>
      </c>
      <c r="B20" s="15">
        <v>236709.96029973586</v>
      </c>
      <c r="C20" s="16">
        <v>75844.52240044919</v>
      </c>
      <c r="D20" s="16">
        <v>128307.78534963164</v>
      </c>
      <c r="E20" s="16">
        <v>252430.66208192543</v>
      </c>
      <c r="F20" s="16">
        <v>1530754.1473267726</v>
      </c>
      <c r="G20" s="16">
        <v>175208.75571597135</v>
      </c>
      <c r="H20" s="16">
        <v>222217.699228646</v>
      </c>
      <c r="I20" s="16">
        <v>113469.96156854951</v>
      </c>
      <c r="J20" s="16">
        <v>69067.440378429834</v>
      </c>
      <c r="K20" s="17">
        <f>SUM(B$17:B20)</f>
        <v>930774.24171270418</v>
      </c>
      <c r="L20" s="17">
        <f t="shared" si="4"/>
        <v>1183204.9037946295</v>
      </c>
      <c r="M20" s="17">
        <f t="shared" si="3"/>
        <v>1051262.232051857</v>
      </c>
      <c r="N20" s="17">
        <f>(F20*SUM(Costs!$F$4,Costs!$F$5)+G20*SUM(Costs!$F$4,Costs!$F$5,$W26)+H20*Costs!$F$7+I20*Costs!$F$7+J20*Costs!$F$7) /($Q$9^(A20-$A$3+1))</f>
        <v>423503496.53503615</v>
      </c>
      <c r="O20" s="17">
        <f>(F20*SUM(Costs!$F$4,Costs!$F$5)+G20*SUM(Costs!$F$4,Costs!$F$5,$W27)+H20*Costs!$F$7+I20*Costs!$F$7+J20*Costs!$F$7) /($Q$9^(A20-$A$3+1))</f>
        <v>445946129.93763828</v>
      </c>
      <c r="Q20" s="32">
        <f>M$6-M20</f>
        <v>17186.32655158639</v>
      </c>
      <c r="R20" s="27">
        <f>B$6-B20</f>
        <v>3474.6252836504427</v>
      </c>
      <c r="S20" s="27">
        <f>D$6-D20</f>
        <v>7719.1480049180245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239444.69032177175</v>
      </c>
      <c r="C21" s="16">
        <v>75458.858733186047</v>
      </c>
      <c r="D21" s="16">
        <v>128165.78393239289</v>
      </c>
      <c r="E21" s="16">
        <v>252673.71701337589</v>
      </c>
      <c r="F21" s="16">
        <v>1558534.68197075</v>
      </c>
      <c r="G21" s="16">
        <v>170414.61258008267</v>
      </c>
      <c r="H21" s="16">
        <v>223372.62357410585</v>
      </c>
      <c r="I21" s="16">
        <v>112412.55475038615</v>
      </c>
      <c r="J21" s="16">
        <v>67242.283103073933</v>
      </c>
      <c r="K21" s="17">
        <f>SUM(B$17:B21)</f>
        <v>1170218.932034476</v>
      </c>
      <c r="L21" s="17">
        <f t="shared" si="4"/>
        <v>1422892.6490478518</v>
      </c>
      <c r="M21" s="17">
        <f t="shared" si="3"/>
        <v>1227399.6983043305</v>
      </c>
      <c r="N21" s="17">
        <f>(F21*SUM(Costs!$F$4,Costs!$F$5)+G21*SUM(Costs!$F$4,Costs!$F$5,$W26)+H21*Costs!$F$7+I21*Costs!$F$7+J21*Costs!$F$7) /($Q$9^(A21-$A$3+1))</f>
        <v>415150865.44303054</v>
      </c>
      <c r="O21" s="17">
        <f>(F21*SUM(Costs!$F$4,Costs!$F$5)+G21*SUM(Costs!$F$4,Costs!$F$5,$W27)+H21*Costs!$F$7+I21*Costs!$F$7+J21*Costs!$F$7) /($Q$9^(A21-$A$3+1))</f>
        <v>436343630.17248142</v>
      </c>
      <c r="Q21" s="32">
        <f>M$7-M21</f>
        <v>19891.456173728453</v>
      </c>
      <c r="R21" s="27">
        <f>B$7-B21</f>
        <v>3444.2111572871509</v>
      </c>
      <c r="S21" s="27">
        <f>D$7-D21</f>
        <v>8135.9651698600792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242243.35913267705</v>
      </c>
      <c r="C22" s="16">
        <v>75072.726836296628</v>
      </c>
      <c r="D22" s="16">
        <v>128062.7139645055</v>
      </c>
      <c r="E22" s="16">
        <v>252862.81135538156</v>
      </c>
      <c r="F22" s="16">
        <v>1585164.2387566001</v>
      </c>
      <c r="G22" s="16">
        <v>165704.62534372412</v>
      </c>
      <c r="H22" s="16">
        <v>224175.69881439285</v>
      </c>
      <c r="I22" s="16">
        <v>111394.21287202773</v>
      </c>
      <c r="J22" s="16">
        <v>65451.054326683225</v>
      </c>
      <c r="K22" s="17">
        <f>SUM(B$17:B22)</f>
        <v>1412462.291167153</v>
      </c>
      <c r="L22" s="17">
        <f t="shared" si="4"/>
        <v>1665325.1025225346</v>
      </c>
      <c r="M22" s="17">
        <f t="shared" si="3"/>
        <v>1394683.5556227155</v>
      </c>
      <c r="N22" s="17">
        <f>(F22*SUM(Costs!$F$4,Costs!$F$5)+G22*SUM(Costs!$F$4,Costs!$F$5,$W26)+H22*Costs!$F$7+I22*Costs!$F$7+J22*Costs!$F$7) /($Q$9^(A22-$A$3+1))</f>
        <v>406688195.92860663</v>
      </c>
      <c r="O22" s="17">
        <f>(F22*SUM(Costs!$F$4,Costs!$F$5)+G22*SUM(Costs!$F$4,Costs!$F$5,$W27)+H22*Costs!$F$7+I22*Costs!$F$7+J22*Costs!$F$7) /($Q$9^(A22-$A$3+1))</f>
        <v>426695021.77302837</v>
      </c>
      <c r="Q22" s="32">
        <f>M$8-M22</f>
        <v>22467.524025263265</v>
      </c>
      <c r="R22" s="27">
        <f>B$8-B22</f>
        <v>3429.3538906041067</v>
      </c>
      <c r="S22" s="27">
        <f>D$8-D22</f>
        <v>8602.3253971095546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244565.55376238909</v>
      </c>
      <c r="C23" s="16">
        <v>74151.01137084447</v>
      </c>
      <c r="D23" s="16">
        <v>127237.01688678266</v>
      </c>
      <c r="E23" s="16">
        <v>252388.5090805869</v>
      </c>
      <c r="F23" s="16">
        <v>1615516.4863844372</v>
      </c>
      <c r="G23" s="16">
        <v>161579.91989979739</v>
      </c>
      <c r="H23" s="16">
        <v>221335.33776666853</v>
      </c>
      <c r="I23" s="16">
        <v>108943.94899294199</v>
      </c>
      <c r="J23" s="16">
        <v>62905.026024489249</v>
      </c>
      <c r="K23" s="17">
        <f>SUM(B$17:B23)</f>
        <v>1657027.8449295422</v>
      </c>
      <c r="L23" s="17">
        <f t="shared" si="4"/>
        <v>1909416.3540101291</v>
      </c>
      <c r="M23" s="17">
        <f t="shared" si="3"/>
        <v>1552530.229065812</v>
      </c>
      <c r="N23" s="17">
        <f>(F23*SUM(Costs!$F$4,Costs!$F$5)+G23*SUM(Costs!$F$4,Costs!$F$5,$W26)+H23*Costs!$F$7+I23*Costs!$F$7+J23*Costs!$F$7) /($Q$9^(A23-$A$3+1))</f>
        <v>398490903.57427347</v>
      </c>
      <c r="O23" s="17">
        <f>(F23*SUM(Costs!$F$4,Costs!$F$5)+G23*SUM(Costs!$F$4,Costs!$F$5,$W27)+H23*Costs!$F$7+I23*Costs!$F$7+J23*Costs!$F$7) /($Q$9^(A23-$A$3+1))</f>
        <v>417431503.22156936</v>
      </c>
      <c r="Q23" s="32">
        <f>M$9-M23</f>
        <v>24942.348180422559</v>
      </c>
      <c r="R23" s="27">
        <f>B$9-B23</f>
        <v>3437.2124685334566</v>
      </c>
      <c r="S23" s="27">
        <f>D$9-D23</f>
        <v>9113.6948125830677</v>
      </c>
      <c r="T23" s="27"/>
      <c r="U23" s="33"/>
    </row>
    <row r="24" spans="1:26" ht="13.8" thickBot="1" x14ac:dyDescent="0.3">
      <c r="A24" s="14">
        <v>2026</v>
      </c>
      <c r="B24" s="15">
        <v>247456.608788529</v>
      </c>
      <c r="C24" s="16">
        <v>73744.36119783904</v>
      </c>
      <c r="D24" s="16">
        <v>127152.443382333</v>
      </c>
      <c r="E24" s="16">
        <v>252423.36864440778</v>
      </c>
      <c r="F24" s="16">
        <v>1639540.4634773915</v>
      </c>
      <c r="G24" s="16">
        <v>157054.89434290322</v>
      </c>
      <c r="H24" s="16">
        <v>221414.37022004073</v>
      </c>
      <c r="I24" s="16">
        <v>107949.66408448218</v>
      </c>
      <c r="J24" s="16">
        <v>61186.641590982843</v>
      </c>
      <c r="K24" s="17">
        <f>SUM(B$17:B24)</f>
        <v>1904484.4537180711</v>
      </c>
      <c r="L24" s="17">
        <f t="shared" si="4"/>
        <v>2156907.8223624788</v>
      </c>
      <c r="M24" s="17">
        <f t="shared" si="3"/>
        <v>1702682.9525369031</v>
      </c>
      <c r="N24" s="17">
        <f>(F24*SUM(Costs!$F$4,Costs!$F$5)+G24*SUM(Costs!$F$4,Costs!$F$5,$W26)+H24*Costs!$F$7+I24*Costs!$F$7+J24*Costs!$F$7) /($Q$9^(A24-$A$3+1))</f>
        <v>389797797.53378856</v>
      </c>
      <c r="O24" s="17">
        <f>(F24*SUM(Costs!$F$4,Costs!$F$5)+G24*SUM(Costs!$F$4,Costs!$F$5,$W27)+H24*Costs!$F$7+I24*Costs!$F$7+J24*Costs!$F$7) /($Q$9^(A24-$A$3+1))</f>
        <v>407671749.4855445</v>
      </c>
      <c r="Q24" s="32">
        <f>M$10-M24</f>
        <v>27320.287897846196</v>
      </c>
      <c r="R24" s="27">
        <f>B$10-B24</f>
        <v>3459.2014283542812</v>
      </c>
      <c r="S24" s="27">
        <f>D$10-D24</f>
        <v>9654.5977774998755</v>
      </c>
      <c r="T24" s="27"/>
      <c r="U24" s="33"/>
    </row>
    <row r="25" spans="1:26" x14ac:dyDescent="0.25">
      <c r="A25" s="14">
        <v>2027</v>
      </c>
      <c r="B25" s="15">
        <v>250920.82185200456</v>
      </c>
      <c r="C25" s="16">
        <v>73864.235226555684</v>
      </c>
      <c r="D25" s="16">
        <v>127861.0363058753</v>
      </c>
      <c r="E25" s="16">
        <v>252987.85160839627</v>
      </c>
      <c r="F25" s="16">
        <v>1657214.8831852104</v>
      </c>
      <c r="G25" s="16">
        <v>152277.66585644067</v>
      </c>
      <c r="H25" s="16">
        <v>224610.45562176962</v>
      </c>
      <c r="I25" s="16">
        <v>108439.35054547638</v>
      </c>
      <c r="J25" s="16">
        <v>60265.273391325085</v>
      </c>
      <c r="K25" s="17">
        <f>SUM(B$17:B25)</f>
        <v>2155405.2755700755</v>
      </c>
      <c r="L25" s="17">
        <f t="shared" si="4"/>
        <v>2408393.1271784715</v>
      </c>
      <c r="M25" s="17">
        <f t="shared" si="3"/>
        <v>1845832.7907309732</v>
      </c>
      <c r="N25" s="17">
        <f>(F25*SUM(Costs!$F$4,Costs!$F$5)+G25*SUM(Costs!$F$4,Costs!$F$5,$W26)+H25*Costs!$F$7+I25*Costs!$F$7+J25*Costs!$F$7) /($Q$9^(A25-$A$3+1))</f>
        <v>380719798.44576019</v>
      </c>
      <c r="O25" s="17">
        <f>(F25*SUM(Costs!$F$4,Costs!$F$5)+G25*SUM(Costs!$F$4,Costs!$F$5,$W27)+H25*Costs!$F$7+I25*Costs!$F$7+J25*Costs!$F$7) /($Q$9^(A25-$A$3+1))</f>
        <v>397545303.04704583</v>
      </c>
      <c r="Q25" s="32">
        <f>M$11-M25</f>
        <v>29622.86368374899</v>
      </c>
      <c r="R25" s="27">
        <f>B$11-B25</f>
        <v>3500.5711401151784</v>
      </c>
      <c r="S25" s="27">
        <f>D$11-D25</f>
        <v>10239.737946381516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253895.02538097845</v>
      </c>
      <c r="C26" s="25">
        <v>73450.537680974914</v>
      </c>
      <c r="D26" s="25">
        <v>127879.16088481943</v>
      </c>
      <c r="E26" s="25">
        <v>252931.04061429243</v>
      </c>
      <c r="F26" s="25">
        <v>1678829.5775138715</v>
      </c>
      <c r="G26" s="25">
        <v>148231.55808111001</v>
      </c>
      <c r="H26" s="25">
        <v>224182.6530043096</v>
      </c>
      <c r="I26" s="25">
        <v>107491.16622578476</v>
      </c>
      <c r="J26" s="25">
        <v>58617.199281472713</v>
      </c>
      <c r="K26" s="26">
        <f>SUM(B$17:B26)</f>
        <v>2409300.3009510539</v>
      </c>
      <c r="L26" s="26">
        <f t="shared" si="4"/>
        <v>2662231.3415653463</v>
      </c>
      <c r="M26" s="26">
        <f t="shared" si="3"/>
        <v>1980950.1413061193</v>
      </c>
      <c r="N26" s="26">
        <f>(F26*SUM(Costs!$F$4,Costs!$F$5)+G26*SUM(Costs!$F$4,Costs!$F$5,$W26)+H26*Costs!$F$7+I26*Costs!$F$7+J26*Costs!$F$7) /($Q$9^(A26-$A$3+1))</f>
        <v>372032159.21321124</v>
      </c>
      <c r="O26" s="26">
        <f>(F26*SUM(Costs!$F$4,Costs!$F$5)+G26*SUM(Costs!$F$4,Costs!$F$5,$W27)+H26*Costs!$F$7+I26*Costs!$F$7+J26*Costs!$F$7) /($Q$9^(A26-$A$3+1))</f>
        <v>387933558.22131062</v>
      </c>
      <c r="Q26" s="35">
        <f>M$12-M26</f>
        <v>31870.088225882966</v>
      </c>
      <c r="R26" s="27">
        <f>B$12-B26</f>
        <v>3566.1606274785008</v>
      </c>
      <c r="S26" s="27">
        <f>D$12-D26</f>
        <v>10866.784438371629</v>
      </c>
      <c r="T26" s="42"/>
      <c r="U26" s="36"/>
      <c r="W26" s="43">
        <v>96.50507825679469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2409300.3009510539</v>
      </c>
      <c r="C27" s="6">
        <f>SUM(C17:C26)</f>
        <v>750958.87412105617</v>
      </c>
      <c r="D27" s="6">
        <f t="shared" si="5"/>
        <v>1279901.4765856236</v>
      </c>
      <c r="E27" s="6">
        <f t="shared" si="5"/>
        <v>2523257.2443380449</v>
      </c>
      <c r="F27" s="6">
        <f t="shared" si="5"/>
        <v>15684341.50900992</v>
      </c>
      <c r="G27" s="6">
        <f t="shared" si="5"/>
        <v>1685446.833202376</v>
      </c>
      <c r="H27" s="6">
        <f t="shared" si="5"/>
        <v>2214679.5583065036</v>
      </c>
      <c r="I27" s="6">
        <f t="shared" si="5"/>
        <v>1115877.7096217717</v>
      </c>
      <c r="J27" s="6">
        <f t="shared" si="5"/>
        <v>662225.38593990495</v>
      </c>
      <c r="K27" s="6">
        <f t="shared" si="5"/>
        <v>13022791.532690044</v>
      </c>
      <c r="L27" s="6">
        <f t="shared" si="5"/>
        <v>15546048.777028088</v>
      </c>
      <c r="M27" s="6">
        <f t="shared" si="5"/>
        <v>12757914.470484747</v>
      </c>
      <c r="N27" s="6">
        <f t="shared" si="5"/>
        <v>4105763722.6775365</v>
      </c>
      <c r="O27" s="6">
        <f t="shared" si="5"/>
        <v>4314424085.7415409</v>
      </c>
      <c r="Q27" s="6">
        <f>SUM(Q17:Q26)</f>
        <v>207004.32843651238</v>
      </c>
      <c r="R27" s="37">
        <f>SUM(R17:R26)</f>
        <v>35022.544129290822</v>
      </c>
      <c r="S27" s="37">
        <f>SUM(S17:S26)</f>
        <v>85631.074078641483</v>
      </c>
      <c r="T27" s="18">
        <f>(N27-N$13)/Q27</f>
        <v>500.00000000000136</v>
      </c>
      <c r="U27" s="18">
        <f>(O27-O$13)/Q27</f>
        <v>1508.0000000000011</v>
      </c>
      <c r="W27" s="44">
        <v>240.6724260072495</v>
      </c>
      <c r="X27" s="50">
        <f>$Q$3</f>
        <v>1508</v>
      </c>
      <c r="Y27" s="22" t="s">
        <v>61</v>
      </c>
    </row>
    <row r="28" spans="1:26" x14ac:dyDescent="0.25">
      <c r="O28" s="65"/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7"/>
  <sheetViews>
    <sheetView zoomScale="90" zoomScaleNormal="90" workbookViewId="0">
      <pane xSplit="1" ySplit="13" topLeftCell="B14" activePane="bottomRight" state="frozen"/>
      <selection activeCell="U27" sqref="U27"/>
      <selection pane="topRight" activeCell="U27" sqref="U27"/>
      <selection pane="bottomLeft" activeCell="U27" sqref="U27"/>
      <selection pane="bottomRight" activeCell="Q28" sqref="Q28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57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218114.62115144657</v>
      </c>
      <c r="C3" s="16">
        <v>56542.642046445631</v>
      </c>
      <c r="D3" s="16">
        <v>91846.067581379073</v>
      </c>
      <c r="E3" s="16">
        <v>177854.0596646395</v>
      </c>
      <c r="F3" s="16">
        <v>1132939.8345262448</v>
      </c>
      <c r="G3" s="16">
        <v>0</v>
      </c>
      <c r="H3" s="16">
        <v>150484.45060744535</v>
      </c>
      <c r="I3" s="16">
        <v>81695.831558831705</v>
      </c>
      <c r="J3" s="16">
        <v>51939.758986082008</v>
      </c>
      <c r="K3" s="17">
        <f>SUM(B$3:B3)</f>
        <v>218114.62115144657</v>
      </c>
      <c r="L3" s="17">
        <f>SUM(E3,K3)</f>
        <v>395968.68081608607</v>
      </c>
      <c r="M3" s="17">
        <f t="shared" ref="M3:M12" si="0">L3/($Q$9^(A3-$A$3+1))</f>
        <v>384435.612442802</v>
      </c>
      <c r="N3" s="17">
        <f>(F3*SUM($Q$12,Costs!$F$5)+H3*Costs!$F$7+I3*Costs!$F$7+J3*Costs!$F$7) /($Q$9^(A3-$A$3+1))</f>
        <v>285539423.51851124</v>
      </c>
      <c r="O3" s="17">
        <f>(F3*SUM($Q$12,Costs!$F$5)+H3*Costs!$F$7+I3*Costs!$F$7+J3*Costs!$F$7) /($Q$9^(A3-$A$3+1))</f>
        <v>285539423.51851124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220317.09225418209</v>
      </c>
      <c r="C4" s="16">
        <v>55708.276381712458</v>
      </c>
      <c r="D4" s="16">
        <v>91027.41245348833</v>
      </c>
      <c r="E4" s="16">
        <v>177215.89273240409</v>
      </c>
      <c r="F4" s="16">
        <v>1152389.8551338962</v>
      </c>
      <c r="G4" s="16">
        <v>0</v>
      </c>
      <c r="H4" s="16">
        <v>150019.83200070143</v>
      </c>
      <c r="I4" s="16">
        <v>79649.441703114731</v>
      </c>
      <c r="J4" s="16">
        <v>49901.525221205258</v>
      </c>
      <c r="K4" s="17">
        <f>SUM(B$3:B4)</f>
        <v>438431.71340562869</v>
      </c>
      <c r="L4" s="17">
        <f t="shared" ref="L4:L12" si="1">SUM(E4,K4)</f>
        <v>615647.60613803274</v>
      </c>
      <c r="M4" s="17">
        <f t="shared" si="0"/>
        <v>580306.91501369851</v>
      </c>
      <c r="N4" s="17">
        <f>(F4*SUM($Q$12,Costs!$F$5)+H4*Costs!$F$7+I4*Costs!$F$7+J4*Costs!$F$7) /($Q$9^(A4-$A$3+1))</f>
        <v>280601977.04548204</v>
      </c>
      <c r="O4" s="17">
        <f>(F4*SUM($Q$12,Costs!$F$5)+H4*Costs!$F$7+I4*Costs!$F$7+J4*Costs!$F$7) /($Q$9^(A4-$A$3+1))</f>
        <v>280601977.04548204</v>
      </c>
    </row>
    <row r="5" spans="1:27" x14ac:dyDescent="0.25">
      <c r="A5" s="14">
        <v>2021</v>
      </c>
      <c r="B5" s="15">
        <v>223342.50716537485</v>
      </c>
      <c r="C5" s="16">
        <v>55594.046287075711</v>
      </c>
      <c r="D5" s="16">
        <v>91208.630143140006</v>
      </c>
      <c r="E5" s="16">
        <v>177380.57368728821</v>
      </c>
      <c r="F5" s="16">
        <v>1163733.1216018123</v>
      </c>
      <c r="G5" s="16">
        <v>0</v>
      </c>
      <c r="H5" s="16">
        <v>153342.09627825962</v>
      </c>
      <c r="I5" s="16">
        <v>79677.878871801324</v>
      </c>
      <c r="J5" s="16">
        <v>49071.231953095747</v>
      </c>
      <c r="K5" s="17">
        <f>SUM(B$3:B5)</f>
        <v>661774.22057100351</v>
      </c>
      <c r="L5" s="17">
        <f t="shared" si="1"/>
        <v>839154.79425829172</v>
      </c>
      <c r="M5" s="17">
        <f t="shared" si="0"/>
        <v>767945.51087169233</v>
      </c>
      <c r="N5" s="17">
        <f>(F5*SUM($Q$12,Costs!$F$5)+H5*Costs!$F$7+I5*Costs!$F$7+J5*Costs!$F$7) /($Q$9^(A5-$A$3+1))</f>
        <v>275077792.73012012</v>
      </c>
      <c r="O5" s="17">
        <f>(F5*SUM($Q$12,Costs!$F$5)+H5*Costs!$F$7+I5*Costs!$F$7+J5*Costs!$F$7) /($Q$9^(A5-$A$3+1))</f>
        <v>275077792.73012012</v>
      </c>
      <c r="Q5" s="13" t="s">
        <v>21</v>
      </c>
    </row>
    <row r="6" spans="1:27" x14ac:dyDescent="0.25">
      <c r="A6" s="14">
        <v>2022</v>
      </c>
      <c r="B6" s="15">
        <v>226101.89678964461</v>
      </c>
      <c r="C6" s="16">
        <v>55127.435388445221</v>
      </c>
      <c r="D6" s="16">
        <v>90973.393793450727</v>
      </c>
      <c r="E6" s="16">
        <v>177104.99244696501</v>
      </c>
      <c r="F6" s="16">
        <v>1177981.6053383306</v>
      </c>
      <c r="G6" s="16">
        <v>0</v>
      </c>
      <c r="H6" s="16">
        <v>154336.76651750723</v>
      </c>
      <c r="I6" s="16">
        <v>78770.817294649256</v>
      </c>
      <c r="J6" s="16">
        <v>47664.738416981781</v>
      </c>
      <c r="K6" s="17">
        <f>SUM(B$3:B6)</f>
        <v>887876.11736064812</v>
      </c>
      <c r="L6" s="17">
        <f t="shared" si="1"/>
        <v>1064981.1098076131</v>
      </c>
      <c r="M6" s="17">
        <f t="shared" si="0"/>
        <v>946221.92233894032</v>
      </c>
      <c r="N6" s="17">
        <f>(F6*SUM($Q$12,Costs!$F$5)+H6*Costs!$F$7+I6*Costs!$F$7+J6*Costs!$F$7) /($Q$9^(A6-$A$3+1))</f>
        <v>269677115.77484334</v>
      </c>
      <c r="O6" s="17">
        <f>(F6*SUM($Q$12,Costs!$F$5)+H6*Costs!$F$7+I6*Costs!$F$7+J6*Costs!$F$7) /($Q$9^(A6-$A$3+1))</f>
        <v>269677115.77484334</v>
      </c>
      <c r="Q6" s="38">
        <v>500</v>
      </c>
    </row>
    <row r="7" spans="1:27" x14ac:dyDescent="0.25">
      <c r="A7" s="14">
        <v>2023</v>
      </c>
      <c r="B7" s="15">
        <v>228940.1977397968</v>
      </c>
      <c r="C7" s="16">
        <v>54664.138457744695</v>
      </c>
      <c r="D7" s="16">
        <v>90777.990858695062</v>
      </c>
      <c r="E7" s="16">
        <v>176800.26361385809</v>
      </c>
      <c r="F7" s="16">
        <v>1191414.2592411852</v>
      </c>
      <c r="G7" s="16">
        <v>0</v>
      </c>
      <c r="H7" s="16">
        <v>155057.73777737663</v>
      </c>
      <c r="I7" s="16">
        <v>77920.464294174439</v>
      </c>
      <c r="J7" s="16">
        <v>46279.141790101392</v>
      </c>
      <c r="K7" s="17">
        <f>SUM(B$3:B7)</f>
        <v>1116816.3151004449</v>
      </c>
      <c r="L7" s="17">
        <f t="shared" si="1"/>
        <v>1293616.578714303</v>
      </c>
      <c r="M7" s="17">
        <f t="shared" si="0"/>
        <v>1115885.0244239462</v>
      </c>
      <c r="N7" s="17">
        <f>(F7*SUM($Q$12,Costs!$F$5)+H7*Costs!$F$7+I7*Costs!$F$7+J7*Costs!$F$7) /($Q$9^(A7-$A$3+1))</f>
        <v>264176133.85926753</v>
      </c>
      <c r="O7" s="17">
        <f>(F7*SUM($Q$12,Costs!$F$5)+H7*Costs!$F$7+I7*Costs!$F$7+J7*Costs!$F$7) /($Q$9^(A7-$A$3+1))</f>
        <v>264176133.85926753</v>
      </c>
      <c r="R7" s="20"/>
    </row>
    <row r="8" spans="1:27" x14ac:dyDescent="0.25">
      <c r="A8" s="14">
        <v>2024</v>
      </c>
      <c r="B8" s="15">
        <v>231849.5028095195</v>
      </c>
      <c r="C8" s="16">
        <v>54206.919958680854</v>
      </c>
      <c r="D8" s="16">
        <v>90634.889906969649</v>
      </c>
      <c r="E8" s="16">
        <v>176484.00600356632</v>
      </c>
      <c r="F8" s="16">
        <v>1204151.6545681774</v>
      </c>
      <c r="G8" s="16">
        <v>0</v>
      </c>
      <c r="H8" s="16">
        <v>155503.8826106849</v>
      </c>
      <c r="I8" s="16">
        <v>77126.817145146197</v>
      </c>
      <c r="J8" s="16">
        <v>44927.630245613298</v>
      </c>
      <c r="K8" s="17">
        <f>SUM(B$3:B8)</f>
        <v>1348665.8179099644</v>
      </c>
      <c r="L8" s="17">
        <f t="shared" si="1"/>
        <v>1525149.8239135307</v>
      </c>
      <c r="M8" s="17">
        <f t="shared" si="0"/>
        <v>1277288.9666114296</v>
      </c>
      <c r="N8" s="17">
        <f>(F8*SUM($Q$12,Costs!$F$5)+H8*Costs!$F$7+I8*Costs!$F$7+J8*Costs!$F$7) /($Q$9^(A8-$A$3+1))</f>
        <v>258614407.88941261</v>
      </c>
      <c r="O8" s="17">
        <f>(F8*SUM($Q$12,Costs!$F$5)+H8*Costs!$F$7+I8*Costs!$F$7+J8*Costs!$F$7) /($Q$9^(A8-$A$3+1))</f>
        <v>258614407.88941261</v>
      </c>
      <c r="Q8" s="13" t="s">
        <v>6</v>
      </c>
    </row>
    <row r="9" spans="1:27" x14ac:dyDescent="0.25">
      <c r="A9" s="14">
        <v>2025</v>
      </c>
      <c r="B9" s="15">
        <v>234458.75232042337</v>
      </c>
      <c r="C9" s="16">
        <v>53390.380649154191</v>
      </c>
      <c r="D9" s="16">
        <v>90028.446553243077</v>
      </c>
      <c r="E9" s="16">
        <v>175744.73457793865</v>
      </c>
      <c r="F9" s="16">
        <v>1219921.6489712985</v>
      </c>
      <c r="G9" s="16">
        <v>0</v>
      </c>
      <c r="H9" s="16">
        <v>153437.86536125076</v>
      </c>
      <c r="I9" s="16">
        <v>75364.80343090526</v>
      </c>
      <c r="J9" s="16">
        <v>43066.836076813743</v>
      </c>
      <c r="K9" s="17">
        <f>SUM(B$3:B9)</f>
        <v>1583124.5702303876</v>
      </c>
      <c r="L9" s="17">
        <f t="shared" si="1"/>
        <v>1758869.3048083263</v>
      </c>
      <c r="M9" s="17">
        <f t="shared" si="0"/>
        <v>1430121.7013020359</v>
      </c>
      <c r="N9" s="17">
        <f>(F9*SUM($Q$12,Costs!$F$5)+H9*Costs!$F$7+I9*Costs!$F$7+J9*Costs!$F$7) /($Q$9^(A9-$A$3+1))</f>
        <v>253192782.64297351</v>
      </c>
      <c r="O9" s="17">
        <f>(F9*SUM($Q$12,Costs!$F$5)+H9*Costs!$F$7+I9*Costs!$F$7+J9*Costs!$F$7) /($Q$9^(A9-$A$3+1))</f>
        <v>253192782.64297351</v>
      </c>
      <c r="Q9" s="19">
        <v>1.03</v>
      </c>
    </row>
    <row r="10" spans="1:27" x14ac:dyDescent="0.25">
      <c r="A10" s="14">
        <v>2026</v>
      </c>
      <c r="B10" s="15">
        <v>237486.59483457252</v>
      </c>
      <c r="C10" s="16">
        <v>52938.357125978837</v>
      </c>
      <c r="D10" s="16">
        <v>89933.450261802282</v>
      </c>
      <c r="E10" s="16">
        <v>175382.11433070307</v>
      </c>
      <c r="F10" s="16">
        <v>1231160.7045587671</v>
      </c>
      <c r="G10" s="16">
        <v>0</v>
      </c>
      <c r="H10" s="16">
        <v>153349.44056090072</v>
      </c>
      <c r="I10" s="16">
        <v>74631.923071045239</v>
      </c>
      <c r="J10" s="16">
        <v>41792.503707526848</v>
      </c>
      <c r="K10" s="17">
        <f>SUM(B$3:B10)</f>
        <v>1820611.1650649603</v>
      </c>
      <c r="L10" s="17">
        <f t="shared" si="1"/>
        <v>1995993.2793956634</v>
      </c>
      <c r="M10" s="17">
        <f t="shared" si="0"/>
        <v>1575655.5263834924</v>
      </c>
      <c r="N10" s="17">
        <f>(F10*SUM($Q$12,Costs!$F$5)+H10*Costs!$F$7+I10*Costs!$F$7+J10*Costs!$F$7) /($Q$9^(A10-$A$3+1))</f>
        <v>247518924.59036639</v>
      </c>
      <c r="O10" s="17">
        <f>(F10*SUM($Q$12,Costs!$F$5)+H10*Costs!$F$7+I10*Costs!$F$7+J10*Costs!$F$7) /($Q$9^(A10-$A$3+1))</f>
        <v>247518924.59036639</v>
      </c>
    </row>
    <row r="11" spans="1:27" x14ac:dyDescent="0.25">
      <c r="A11" s="14">
        <v>2027</v>
      </c>
      <c r="B11" s="15">
        <v>240934.32373770201</v>
      </c>
      <c r="C11" s="16">
        <v>52858.20926339693</v>
      </c>
      <c r="D11" s="16">
        <v>90387.245400169661</v>
      </c>
      <c r="E11" s="16">
        <v>175409.39726889067</v>
      </c>
      <c r="F11" s="16">
        <v>1237978.9296293058</v>
      </c>
      <c r="G11" s="16">
        <v>0</v>
      </c>
      <c r="H11" s="16">
        <v>155362.60743119149</v>
      </c>
      <c r="I11" s="16">
        <v>74940.394009866475</v>
      </c>
      <c r="J11" s="16">
        <v>41081.694535894581</v>
      </c>
      <c r="K11" s="17">
        <f>SUM(B$3:B11)</f>
        <v>2061545.4888026624</v>
      </c>
      <c r="L11" s="17">
        <f t="shared" si="1"/>
        <v>2236954.886071553</v>
      </c>
      <c r="M11" s="17">
        <f t="shared" si="0"/>
        <v>1714439.6541830699</v>
      </c>
      <c r="N11" s="17">
        <f>(F11*SUM($Q$12,Costs!$F$5)+H11*Costs!$F$7+I11*Costs!$F$7+J11*Costs!$F$7) /($Q$9^(A11-$A$3+1))</f>
        <v>241654385.39430696</v>
      </c>
      <c r="O11" s="17">
        <f>(F11*SUM($Q$12,Costs!$F$5)+H11*Costs!$F$7+I11*Costs!$F$7+J11*Costs!$F$7) /($Q$9^(A11-$A$3+1))</f>
        <v>241654385.39430696</v>
      </c>
      <c r="Q11" s="6" t="s">
        <v>120</v>
      </c>
    </row>
    <row r="12" spans="1:27" s="27" customFormat="1" x14ac:dyDescent="0.25">
      <c r="A12" s="23">
        <v>2028</v>
      </c>
      <c r="B12" s="24">
        <v>244072.82865022848</v>
      </c>
      <c r="C12" s="25">
        <v>52423.581116347079</v>
      </c>
      <c r="D12" s="25">
        <v>90397.019327880786</v>
      </c>
      <c r="E12" s="25">
        <v>175044.30528857739</v>
      </c>
      <c r="F12" s="25">
        <v>1248113.3527128876</v>
      </c>
      <c r="G12" s="25">
        <v>0</v>
      </c>
      <c r="H12" s="25">
        <v>154899.96606274394</v>
      </c>
      <c r="I12" s="25">
        <v>74260.890586984635</v>
      </c>
      <c r="J12" s="25">
        <v>39884.740599475852</v>
      </c>
      <c r="K12" s="26">
        <f>SUM(B$3:B12)</f>
        <v>2305618.3174528908</v>
      </c>
      <c r="L12" s="26">
        <f t="shared" si="1"/>
        <v>2480662.6227414683</v>
      </c>
      <c r="M12" s="26">
        <f t="shared" si="0"/>
        <v>1845845.9624936772</v>
      </c>
      <c r="N12" s="26">
        <f>(F12*SUM($Q$12,Costs!$F$5)+H12*Costs!$F$7+I12*Costs!$F$7+J12*Costs!$F$7) /($Q$9^(A12-$A$3+1))</f>
        <v>236009474.7550782</v>
      </c>
      <c r="O12" s="26">
        <f>(F12*SUM($Q$12,Costs!$F$5)+H12*Costs!$F$7+I12*Costs!$F$7+J12*Costs!$F$7) /($Q$9^(A12-$A$3+1))</f>
        <v>236009474.7550782</v>
      </c>
      <c r="Q12" s="105">
        <v>60</v>
      </c>
      <c r="V12" s="28"/>
    </row>
    <row r="13" spans="1:27" x14ac:dyDescent="0.25">
      <c r="A13" s="12" t="s">
        <v>0</v>
      </c>
      <c r="B13" s="6">
        <f>SUM(B3:B12)</f>
        <v>2305618.3174528908</v>
      </c>
      <c r="C13" s="6">
        <f>SUM(C3:C12)</f>
        <v>543453.98667498166</v>
      </c>
      <c r="D13" s="6">
        <f t="shared" ref="D13:O13" si="2">SUM(D3:D12)</f>
        <v>907214.54628021864</v>
      </c>
      <c r="E13" s="6">
        <f t="shared" si="2"/>
        <v>1764420.3396148311</v>
      </c>
      <c r="F13" s="6">
        <f t="shared" si="2"/>
        <v>11959784.966281906</v>
      </c>
      <c r="G13" s="6">
        <f t="shared" si="2"/>
        <v>0</v>
      </c>
      <c r="H13" s="6">
        <f t="shared" si="2"/>
        <v>1535794.6452080619</v>
      </c>
      <c r="I13" s="6">
        <f t="shared" si="2"/>
        <v>774039.26196651929</v>
      </c>
      <c r="J13" s="6">
        <f t="shared" si="2"/>
        <v>455609.80153279047</v>
      </c>
      <c r="K13" s="6">
        <f t="shared" si="2"/>
        <v>12442578.347050037</v>
      </c>
      <c r="L13" s="6">
        <f t="shared" si="2"/>
        <v>14206998.686664868</v>
      </c>
      <c r="M13" s="6">
        <f t="shared" si="2"/>
        <v>11638146.796064783</v>
      </c>
      <c r="N13" s="6">
        <f t="shared" si="2"/>
        <v>2612062418.2003622</v>
      </c>
      <c r="O13" s="6">
        <f t="shared" si="2"/>
        <v>2612062418.2003622</v>
      </c>
      <c r="V13" s="18"/>
    </row>
    <row r="15" spans="1:27" ht="15" x14ac:dyDescent="0.4">
      <c r="B15" s="7" t="s">
        <v>20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33" x14ac:dyDescent="0.25">
      <c r="A17" s="14">
        <v>2019</v>
      </c>
      <c r="B17" s="15">
        <v>215837.70973890933</v>
      </c>
      <c r="C17" s="16">
        <v>54263.919750704823</v>
      </c>
      <c r="D17" s="16">
        <v>88409.30081585687</v>
      </c>
      <c r="E17" s="16">
        <v>174851.7298649541</v>
      </c>
      <c r="F17" s="16">
        <v>1021877.6108288184</v>
      </c>
      <c r="G17" s="16">
        <v>110714.96606853355</v>
      </c>
      <c r="H17" s="16">
        <v>150312.73742326093</v>
      </c>
      <c r="I17" s="16">
        <v>81686.250472136278</v>
      </c>
      <c r="J17" s="16">
        <v>51936.382090567</v>
      </c>
      <c r="K17" s="17">
        <f>SUM(B17:B17)</f>
        <v>215837.70973890933</v>
      </c>
      <c r="L17" s="17">
        <f>SUM(E17,K17)</f>
        <v>390689.4396038634</v>
      </c>
      <c r="M17" s="17">
        <f t="shared" ref="M17:M26" si="3">L17/($Q$9^(A17-$A$3+1))</f>
        <v>379310.13553773146</v>
      </c>
      <c r="N17" s="17">
        <f>(F17*SUM($Q$12,Costs!$F$5)+G17*SUM($Q$12,Costs!$F$5,$W26)+H17*Costs!$F$7+I17*Costs!$F$7+J17*Costs!$F$7) /($Q$9^(A17-$A$3+1))</f>
        <v>294951759.23343885</v>
      </c>
      <c r="O17" s="17">
        <f>(F17*SUM($Q$12,Costs!$F$5)+G17*SUM($Q$12,Costs!$F$5,$W27)+H17*Costs!$F$7+I17*Costs!$F$7+J17*Costs!$F$7) /($Q$9^(A17-$A$3+1))</f>
        <v>310717155.46140784</v>
      </c>
      <c r="Q17" s="32">
        <f>M$3-M17</f>
        <v>5125.4769050705363</v>
      </c>
      <c r="R17" s="27">
        <f>B$3-B17</f>
        <v>2276.9114125372435</v>
      </c>
      <c r="S17" s="27">
        <f>D$3-D17</f>
        <v>3436.7667655222031</v>
      </c>
      <c r="T17" s="27"/>
      <c r="U17" s="33"/>
    </row>
    <row r="18" spans="1:33" x14ac:dyDescent="0.25">
      <c r="A18" s="14">
        <v>2020</v>
      </c>
      <c r="B18" s="15">
        <v>218099.20714175311</v>
      </c>
      <c r="C18" s="16">
        <v>53483.87496210471</v>
      </c>
      <c r="D18" s="16">
        <v>87493.645480449253</v>
      </c>
      <c r="E18" s="16">
        <v>174232.32581825106</v>
      </c>
      <c r="F18" s="16">
        <v>1043038.9056927674</v>
      </c>
      <c r="G18" s="16">
        <v>108153.72710768765</v>
      </c>
      <c r="H18" s="16">
        <v>149505.64076353738</v>
      </c>
      <c r="I18" s="16">
        <v>79610.17354764622</v>
      </c>
      <c r="J18" s="16">
        <v>49890.420022359816</v>
      </c>
      <c r="K18" s="17">
        <f>SUM(B17:B18)</f>
        <v>433936.91688066244</v>
      </c>
      <c r="L18" s="17">
        <f t="shared" ref="L18:L26" si="4">SUM(E18,K18)</f>
        <v>608169.24269891344</v>
      </c>
      <c r="M18" s="17">
        <f t="shared" si="3"/>
        <v>573257.84022896923</v>
      </c>
      <c r="N18" s="17">
        <f>(F18*SUM($Q$12,Costs!$F$5)+G18*SUM($Q$12,Costs!$F$5,$W26)+H18*Costs!$F$7+I18*Costs!$F$7+J18*Costs!$F$7) /($Q$9^(A18-$A$3+1))</f>
        <v>289294081.16660833</v>
      </c>
      <c r="O18" s="17">
        <f>(F18*SUM($Q$12,Costs!$F$5)+G18*SUM($Q$12,Costs!$F$5,$W27)+H18*Costs!$F$7+I18*Costs!$F$7+J18*Costs!$F$7) /($Q$9^(A18-$A$3+1))</f>
        <v>304246202.91322684</v>
      </c>
      <c r="Q18" s="32">
        <f>M$4-M18</f>
        <v>7049.0747847292805</v>
      </c>
      <c r="R18" s="27">
        <f>B$4-B18</f>
        <v>2217.8851124289795</v>
      </c>
      <c r="S18" s="27">
        <f>D$4-D18</f>
        <v>3533.7669730390771</v>
      </c>
      <c r="T18" s="27"/>
      <c r="U18" s="33"/>
    </row>
    <row r="19" spans="1:33" x14ac:dyDescent="0.25">
      <c r="A19" s="14">
        <v>2021</v>
      </c>
      <c r="B19" s="15">
        <v>221194.95778092701</v>
      </c>
      <c r="C19" s="16">
        <v>53434.073046950529</v>
      </c>
      <c r="D19" s="16">
        <v>87596.482930411337</v>
      </c>
      <c r="E19" s="16">
        <v>174410.14352470348</v>
      </c>
      <c r="F19" s="16">
        <v>1056714.6975709905</v>
      </c>
      <c r="G19" s="16">
        <v>104840.38064739123</v>
      </c>
      <c r="H19" s="16">
        <v>152509.29289851958</v>
      </c>
      <c r="I19" s="16">
        <v>79586.774800875486</v>
      </c>
      <c r="J19" s="16">
        <v>49049.788593133591</v>
      </c>
      <c r="K19" s="17">
        <f>SUM(B17:B19)</f>
        <v>655131.87466158951</v>
      </c>
      <c r="L19" s="17">
        <f t="shared" si="4"/>
        <v>829542.01818629296</v>
      </c>
      <c r="M19" s="17">
        <f t="shared" si="3"/>
        <v>759148.45902617299</v>
      </c>
      <c r="N19" s="17">
        <f>(F19*SUM($Q$12,Costs!$F$5)+G19*SUM($Q$12,Costs!$F$5,$W26)+H19*Costs!$F$7+I19*Costs!$F$7+J19*Costs!$F$7) /($Q$9^(A19-$A$3+1))</f>
        <v>282996161.93462962</v>
      </c>
      <c r="O19" s="17">
        <f>(F19*SUM($Q$12,Costs!$F$5)+G19*SUM($Q$12,Costs!$F$5,$W27)+H19*Costs!$F$7+I19*Costs!$F$7+J19*Costs!$F$7) /($Q$9^(A19-$A$3+1))</f>
        <v>297068060.5875749</v>
      </c>
      <c r="Q19" s="32">
        <f>M$5-M19</f>
        <v>8797.0518455193378</v>
      </c>
      <c r="R19" s="27">
        <f>B$5-B19</f>
        <v>2147.5493844478333</v>
      </c>
      <c r="S19" s="27">
        <f>D$5-D19</f>
        <v>3612.1472127286688</v>
      </c>
      <c r="T19" s="27"/>
      <c r="U19" s="33"/>
    </row>
    <row r="20" spans="1:33" x14ac:dyDescent="0.25">
      <c r="A20" s="14">
        <v>2022</v>
      </c>
      <c r="B20" s="15">
        <v>224014.64920125573</v>
      </c>
      <c r="C20" s="16">
        <v>53020.860515885382</v>
      </c>
      <c r="D20" s="16">
        <v>87238.384417042253</v>
      </c>
      <c r="E20" s="16">
        <v>174112.26321014826</v>
      </c>
      <c r="F20" s="16">
        <v>1072818.5878960029</v>
      </c>
      <c r="G20" s="16">
        <v>101854.22532752325</v>
      </c>
      <c r="H20" s="16">
        <v>153208.90549247892</v>
      </c>
      <c r="I20" s="16">
        <v>78604.124118823951</v>
      </c>
      <c r="J20" s="16">
        <v>47630.845859684399</v>
      </c>
      <c r="K20" s="17">
        <f>SUM(B17:B20)</f>
        <v>879146.52386284526</v>
      </c>
      <c r="L20" s="17">
        <f>SUM(E20,K20)</f>
        <v>1053258.7870729936</v>
      </c>
      <c r="M20" s="17">
        <f t="shared" si="3"/>
        <v>935806.79041774326</v>
      </c>
      <c r="N20" s="17">
        <f>(F20*SUM($Q$12,Costs!$F$5)+G20*SUM($Q$12,Costs!$F$5,$W26)+H20*Costs!$F$7+I20*Costs!$F$7+J20*Costs!$F$7) /($Q$9^(A20-$A$3+1))</f>
        <v>276855469.3806566</v>
      </c>
      <c r="O20" s="17">
        <f>(F20*SUM($Q$12,Costs!$F$5)+G20*SUM($Q$12,Costs!$F$5,$W27)+H20*Costs!$F$7+I20*Costs!$F$7+J20*Costs!$F$7) /($Q$9^(A20-$A$3+1))</f>
        <v>290128372.81851858</v>
      </c>
      <c r="Q20" s="32">
        <f>M$6-M20</f>
        <v>10415.131921197055</v>
      </c>
      <c r="R20" s="27">
        <f>B$6-B20</f>
        <v>2087.2475883888837</v>
      </c>
      <c r="S20" s="27">
        <f>D$6-D20</f>
        <v>3735.0093764084741</v>
      </c>
      <c r="T20" s="27"/>
      <c r="U20" s="33"/>
      <c r="X20" s="47"/>
      <c r="Y20" s="34"/>
      <c r="Z20" s="34"/>
    </row>
    <row r="21" spans="1:33" ht="14.4" x14ac:dyDescent="0.3">
      <c r="A21" s="14">
        <v>2023</v>
      </c>
      <c r="B21" s="15">
        <v>226906.5478432755</v>
      </c>
      <c r="C21" s="16">
        <v>52603.424595558572</v>
      </c>
      <c r="D21" s="16">
        <v>86892.103435930781</v>
      </c>
      <c r="E21" s="16">
        <v>173754.32982696532</v>
      </c>
      <c r="F21" s="16">
        <v>1087946.7039414544</v>
      </c>
      <c r="G21" s="16">
        <v>98864.0590247527</v>
      </c>
      <c r="H21" s="16">
        <v>153648.06721583562</v>
      </c>
      <c r="I21" s="16">
        <v>77652.039468178467</v>
      </c>
      <c r="J21" s="16">
        <v>46228.734794119438</v>
      </c>
      <c r="K21" s="17">
        <f>SUM(B17:B21)</f>
        <v>1106053.0717061209</v>
      </c>
      <c r="L21" s="17">
        <f t="shared" si="4"/>
        <v>1279807.4015330861</v>
      </c>
      <c r="M21" s="17">
        <f t="shared" si="3"/>
        <v>1103973.1068823112</v>
      </c>
      <c r="N21" s="17">
        <f>(F21*SUM($Q$12,Costs!$F$5)+G21*SUM($Q$12,Costs!$F$5,$W26)+H21*Costs!$F$7+I21*Costs!$F$7+J21*Costs!$F$7) /($Q$9^(A21-$A$3+1))</f>
        <v>270617077.89201182</v>
      </c>
      <c r="O21" s="17">
        <f>(F21*SUM($Q$12,Costs!$F$5)+G21*SUM($Q$12,Costs!$F$5,$W27)+H21*Costs!$F$7+I21*Costs!$F$7+J21*Costs!$F$7) /($Q$9^(A21-$A$3+1))</f>
        <v>283125084.36425495</v>
      </c>
      <c r="Q21" s="32">
        <f>M$7-M21</f>
        <v>11911.91754163499</v>
      </c>
      <c r="R21" s="27">
        <f>B$7-B21</f>
        <v>2033.6498965212959</v>
      </c>
      <c r="S21" s="27">
        <f>D$7-D21</f>
        <v>3885.8874227642809</v>
      </c>
      <c r="T21" s="27"/>
      <c r="U21" s="33"/>
      <c r="X21" s="47"/>
      <c r="Y21" s="34"/>
      <c r="Z21" s="34"/>
      <c r="AD21" s="63"/>
      <c r="AE21" s="64"/>
      <c r="AF21" s="64"/>
      <c r="AG21" s="64"/>
    </row>
    <row r="22" spans="1:33" ht="14.4" x14ac:dyDescent="0.3">
      <c r="A22" s="14">
        <v>2024</v>
      </c>
      <c r="B22" s="15">
        <v>229860.75010849186</v>
      </c>
      <c r="C22" s="16">
        <v>52182.67257269931</v>
      </c>
      <c r="D22" s="16">
        <v>86577.184961864201</v>
      </c>
      <c r="E22" s="16">
        <v>173352.40329114199</v>
      </c>
      <c r="F22" s="16">
        <v>1102159.7076492843</v>
      </c>
      <c r="G22" s="16">
        <v>95915.108013026329</v>
      </c>
      <c r="H22" s="16">
        <v>153824.13974616307</v>
      </c>
      <c r="I22" s="16">
        <v>76733.260893215804</v>
      </c>
      <c r="J22" s="16">
        <v>44855.675294549699</v>
      </c>
      <c r="K22" s="17">
        <f>SUM(B17:B22)</f>
        <v>1335913.8218146127</v>
      </c>
      <c r="L22" s="17">
        <f t="shared" si="4"/>
        <v>1509266.2251057548</v>
      </c>
      <c r="M22" s="17">
        <f t="shared" si="3"/>
        <v>1263986.7026704382</v>
      </c>
      <c r="N22" s="17">
        <f>(F22*SUM($Q$12,Costs!$F$5)+G22*SUM($Q$12,Costs!$F$5,$W26)+H22*Costs!$F$7+I22*Costs!$F$7+J22*Costs!$F$7) /($Q$9^(A22-$A$3+1))</f>
        <v>264322682.04391563</v>
      </c>
      <c r="O22" s="17">
        <f>(F22*SUM($Q$12,Costs!$F$5)+G22*SUM($Q$12,Costs!$F$5,$W27)+H22*Costs!$F$7+I22*Costs!$F$7+J22*Costs!$F$7) /($Q$9^(A22-$A$3+1))</f>
        <v>276104151.33656138</v>
      </c>
      <c r="Q22" s="32">
        <f>M$8-M22</f>
        <v>13302.263940991368</v>
      </c>
      <c r="R22" s="27">
        <f>B$8-B22</f>
        <v>1988.752701027639</v>
      </c>
      <c r="S22" s="27">
        <f>D$8-D22</f>
        <v>4057.7049451054481</v>
      </c>
      <c r="T22" s="27"/>
      <c r="U22" s="33"/>
      <c r="X22" s="47"/>
      <c r="Y22" s="34"/>
      <c r="Z22" s="34"/>
      <c r="AD22" s="63"/>
      <c r="AE22" s="64"/>
      <c r="AF22" s="64"/>
      <c r="AG22" s="64"/>
    </row>
    <row r="23" spans="1:33" ht="14.4" x14ac:dyDescent="0.3">
      <c r="A23" s="14">
        <v>2025</v>
      </c>
      <c r="B23" s="15">
        <v>232500.94745589222</v>
      </c>
      <c r="C23" s="16">
        <v>51388.05494776649</v>
      </c>
      <c r="D23" s="16">
        <v>85779.119710490602</v>
      </c>
      <c r="E23" s="16">
        <v>172490.15894311343</v>
      </c>
      <c r="F23" s="16">
        <v>1118857.0999892773</v>
      </c>
      <c r="G23" s="16">
        <v>93306.619170400605</v>
      </c>
      <c r="H23" s="16">
        <v>151506.6616538997</v>
      </c>
      <c r="I23" s="16">
        <v>74834.918524888359</v>
      </c>
      <c r="J23" s="16">
        <v>42969.819860630319</v>
      </c>
      <c r="K23" s="17">
        <f>SUM(B17:B23)</f>
        <v>1568414.7692705048</v>
      </c>
      <c r="L23" s="17">
        <f t="shared" si="4"/>
        <v>1740904.9282136182</v>
      </c>
      <c r="M23" s="17">
        <f t="shared" si="3"/>
        <v>1415515.0191863037</v>
      </c>
      <c r="N23" s="17">
        <f>(F23*SUM($Q$12,Costs!$F$5)+G23*SUM($Q$12,Costs!$F$5,$W26)+H23*Costs!$F$7+I23*Costs!$F$7+J23*Costs!$F$7) /($Q$9^(A23-$A$3+1))</f>
        <v>258193327.55804473</v>
      </c>
      <c r="O23" s="17">
        <f>(F23*SUM($Q$12,Costs!$F$5)+G23*SUM($Q$12,Costs!$F$5,$W27)+H23*Costs!$F$7+I23*Costs!$F$7+J23*Costs!$F$7) /($Q$9^(A23-$A$3+1))</f>
        <v>269320572.91548443</v>
      </c>
      <c r="Q23" s="32">
        <f>M$9-M23</f>
        <v>14606.682115732227</v>
      </c>
      <c r="R23" s="27">
        <f>B$9-B23</f>
        <v>1957.8048645311501</v>
      </c>
      <c r="S23" s="27">
        <f>D$9-D23</f>
        <v>4249.3268427524745</v>
      </c>
      <c r="T23" s="27"/>
      <c r="U23" s="33"/>
      <c r="AD23" s="63"/>
      <c r="AE23" s="64"/>
      <c r="AF23" s="64"/>
      <c r="AG23" s="64"/>
    </row>
    <row r="24" spans="1:33" ht="15" thickBot="1" x14ac:dyDescent="0.35">
      <c r="A24" s="14">
        <v>2026</v>
      </c>
      <c r="B24" s="15">
        <v>235553.02000314542</v>
      </c>
      <c r="C24" s="16">
        <v>50950.713638272682</v>
      </c>
      <c r="D24" s="16">
        <v>85482.205254742585</v>
      </c>
      <c r="E24" s="16">
        <v>171976.50830683683</v>
      </c>
      <c r="F24" s="16">
        <v>1131081.6594688683</v>
      </c>
      <c r="G24" s="16">
        <v>90471.608947455417</v>
      </c>
      <c r="H24" s="16">
        <v>151160.28089271506</v>
      </c>
      <c r="I24" s="16">
        <v>73943.791555696269</v>
      </c>
      <c r="J24" s="16">
        <v>41661.005818820049</v>
      </c>
      <c r="K24" s="17">
        <f>SUM(B17:B24)</f>
        <v>1803967.7892736502</v>
      </c>
      <c r="L24" s="17">
        <f t="shared" si="4"/>
        <v>1975944.2975804871</v>
      </c>
      <c r="M24" s="17">
        <f t="shared" si="3"/>
        <v>1559828.675</v>
      </c>
      <c r="N24" s="17">
        <f>(F24*SUM($Q$12,Costs!$F$5)+G24*SUM($Q$12,Costs!$F$5,$W26)+H24*Costs!$F$7+I24*Costs!$F$7+J24*Costs!$F$7) /($Q$9^(A24-$A$3+1))</f>
        <v>251798323.34278458</v>
      </c>
      <c r="O24" s="17">
        <f>(F24*SUM($Q$12,Costs!$F$5)+G24*SUM($Q$12,Costs!$F$5,$W27)+H24*Costs!$F$7+I24*Costs!$F$7+J24*Costs!$F$7) /($Q$9^(A24-$A$3+1))</f>
        <v>262273233.33529314</v>
      </c>
      <c r="Q24" s="32">
        <f>M$10-M24</f>
        <v>15826.851383492351</v>
      </c>
      <c r="R24" s="27">
        <f>B$10-B24</f>
        <v>1933.5748314271041</v>
      </c>
      <c r="S24" s="27">
        <f>D$10-D24</f>
        <v>4451.2450070596969</v>
      </c>
      <c r="T24" s="27"/>
      <c r="U24" s="33"/>
      <c r="AD24" s="63"/>
      <c r="AE24" s="64"/>
      <c r="AF24" s="64"/>
      <c r="AG24" s="64"/>
    </row>
    <row r="25" spans="1:33" x14ac:dyDescent="0.25">
      <c r="A25" s="14">
        <v>2027</v>
      </c>
      <c r="B25" s="15">
        <v>239015.71073950786</v>
      </c>
      <c r="C25" s="16">
        <v>50875.50884927038</v>
      </c>
      <c r="D25" s="16">
        <v>85717.042136508229</v>
      </c>
      <c r="E25" s="16">
        <v>171821.56900774068</v>
      </c>
      <c r="F25" s="16">
        <v>1138871.3000243073</v>
      </c>
      <c r="G25" s="16">
        <v>87491.615622395242</v>
      </c>
      <c r="H25" s="16">
        <v>152899.97103940832</v>
      </c>
      <c r="I25" s="16">
        <v>74069.81301054194</v>
      </c>
      <c r="J25" s="16">
        <v>40903.907076701507</v>
      </c>
      <c r="K25" s="17">
        <f>SUM(B17:B25)</f>
        <v>2042983.500013158</v>
      </c>
      <c r="L25" s="17">
        <f t="shared" si="4"/>
        <v>2214805.0690208985</v>
      </c>
      <c r="M25" s="17">
        <f t="shared" si="3"/>
        <v>1697463.6637770983</v>
      </c>
      <c r="N25" s="17">
        <f>(F25*SUM($Q$12,Costs!$F$5)+G25*SUM($Q$12,Costs!$F$5,$W26)+H25*Costs!$F$7+I25*Costs!$F$7+J25*Costs!$F$7) /($Q$9^(A25-$A$3+1))</f>
        <v>245207534.70499477</v>
      </c>
      <c r="O25" s="17">
        <f>(F25*SUM($Q$12,Costs!$F$5)+G25*SUM($Q$12,Costs!$F$5,$W27)+H25*Costs!$F$7+I25*Costs!$F$7+J25*Costs!$F$7) /($Q$9^(A25-$A$3+1))</f>
        <v>255042372.41115424</v>
      </c>
      <c r="Q25" s="32">
        <f>M$11-M25</f>
        <v>16975.99040597165</v>
      </c>
      <c r="R25" s="27">
        <f>B$11-B25</f>
        <v>1918.6129981941485</v>
      </c>
      <c r="S25" s="27">
        <f>D$11-D25</f>
        <v>4670.2032636614313</v>
      </c>
      <c r="T25" s="27"/>
      <c r="U25" s="33"/>
      <c r="W25" s="21" t="s">
        <v>25</v>
      </c>
      <c r="X25" s="48" t="s">
        <v>29</v>
      </c>
    </row>
    <row r="26" spans="1:33" ht="13.8" thickBot="1" x14ac:dyDescent="0.3">
      <c r="A26" s="23">
        <v>2028</v>
      </c>
      <c r="B26" s="24">
        <v>242154.59176030371</v>
      </c>
      <c r="C26" s="25">
        <v>50430.790300612018</v>
      </c>
      <c r="D26" s="25">
        <v>85489.196844177626</v>
      </c>
      <c r="E26" s="25">
        <v>171238.74223538372</v>
      </c>
      <c r="F26" s="25">
        <v>1149324.7304847557</v>
      </c>
      <c r="G26" s="25">
        <v>84933.535315799003</v>
      </c>
      <c r="H26" s="25">
        <v>152177.6923030852</v>
      </c>
      <c r="I26" s="25">
        <v>73212.864379104445</v>
      </c>
      <c r="J26" s="25">
        <v>39656.351110143325</v>
      </c>
      <c r="K26" s="26">
        <f>SUM(B17:B26)</f>
        <v>2285138.0917734616</v>
      </c>
      <c r="L26" s="26">
        <f t="shared" si="4"/>
        <v>2456376.8340088455</v>
      </c>
      <c r="M26" s="26">
        <f t="shared" si="3"/>
        <v>1827775.0548792651</v>
      </c>
      <c r="N26" s="26">
        <f>(F26*SUM($Q$12,Costs!$F$5)+G26*SUM($Q$12,Costs!$F$5,$W26)+H26*Costs!$F$7+I26*Costs!$F$7+J26*Costs!$F$7) /($Q$9^(A26-$A$3+1))</f>
        <v>238866675.17265129</v>
      </c>
      <c r="O26" s="26">
        <f>(F26*SUM($Q$12,Costs!$F$5)+G26*SUM($Q$12,Costs!$F$5,$W27)+H26*Costs!$F$7+I26*Costs!$F$7+J26*Costs!$F$7) /($Q$9^(A26-$A$3+1))</f>
        <v>248135885.53268227</v>
      </c>
      <c r="Q26" s="35">
        <f>M$12-M26</f>
        <v>18070.907614412019</v>
      </c>
      <c r="R26" s="27">
        <f>B$12-B26</f>
        <v>1918.2368899247667</v>
      </c>
      <c r="S26" s="27">
        <f>D$12-D26</f>
        <v>4907.8224837031594</v>
      </c>
      <c r="T26" s="42"/>
      <c r="U26" s="36"/>
      <c r="W26" s="43">
        <v>88.515658776713735</v>
      </c>
      <c r="X26" s="49">
        <f>$Q$6</f>
        <v>500</v>
      </c>
      <c r="Y26" s="22" t="s">
        <v>62</v>
      </c>
      <c r="Z26" s="27"/>
    </row>
    <row r="27" spans="1:33" ht="13.8" thickBot="1" x14ac:dyDescent="0.3">
      <c r="A27" s="12" t="s">
        <v>0</v>
      </c>
      <c r="B27" s="6">
        <f t="shared" ref="B27:O27" si="5">SUM(B17:B26)</f>
        <v>2285138.0917734616</v>
      </c>
      <c r="C27" s="6">
        <f>SUM(C17:C26)</f>
        <v>522633.89317982481</v>
      </c>
      <c r="D27" s="6">
        <f t="shared" si="5"/>
        <v>866674.6659874738</v>
      </c>
      <c r="E27" s="6">
        <f t="shared" si="5"/>
        <v>1732240.1740292385</v>
      </c>
      <c r="F27" s="6">
        <f t="shared" si="5"/>
        <v>10922691.003546527</v>
      </c>
      <c r="G27" s="6">
        <f t="shared" si="5"/>
        <v>976545.84524496505</v>
      </c>
      <c r="H27" s="6">
        <f t="shared" si="5"/>
        <v>1520753.389428904</v>
      </c>
      <c r="I27" s="6">
        <f t="shared" si="5"/>
        <v>769934.01077110728</v>
      </c>
      <c r="J27" s="6">
        <f t="shared" si="5"/>
        <v>454782.93052070914</v>
      </c>
      <c r="K27" s="6">
        <f t="shared" si="5"/>
        <v>12326524.068995515</v>
      </c>
      <c r="L27" s="6">
        <f t="shared" si="5"/>
        <v>14058764.243024752</v>
      </c>
      <c r="M27" s="6">
        <f t="shared" si="5"/>
        <v>11516065.447606033</v>
      </c>
      <c r="N27" s="6">
        <f t="shared" si="5"/>
        <v>2673103092.4297361</v>
      </c>
      <c r="O27" s="6">
        <f t="shared" si="5"/>
        <v>2796161091.6761589</v>
      </c>
      <c r="Q27" s="6">
        <f>SUM(Q17:Q26)</f>
        <v>122081.34845875081</v>
      </c>
      <c r="R27" s="37">
        <f>SUM(R17:R26)</f>
        <v>20480.225679429044</v>
      </c>
      <c r="S27" s="37">
        <f>SUM(S17:S26)</f>
        <v>40539.880292744914</v>
      </c>
      <c r="T27" s="18">
        <f>(N27-N$13)/Q27</f>
        <v>499.99999999998789</v>
      </c>
      <c r="U27" s="18">
        <f>(O27-O$13)/Q27</f>
        <v>1508.0000000000039</v>
      </c>
      <c r="W27" s="44">
        <v>235.18379851815052</v>
      </c>
      <c r="X27" s="50">
        <f>$Q$3</f>
        <v>1508</v>
      </c>
      <c r="Y27" s="22" t="s">
        <v>63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7"/>
  <sheetViews>
    <sheetView zoomScale="90" zoomScaleNormal="90" workbookViewId="0">
      <pane xSplit="1" ySplit="13" topLeftCell="B14" activePane="bottomRight" state="frozen"/>
      <selection activeCell="U27" sqref="U27"/>
      <selection pane="topRight" activeCell="U27" sqref="U27"/>
      <selection pane="bottomLeft" activeCell="U27" sqref="U27"/>
      <selection pane="bottomRight" activeCell="N13" sqref="N13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57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218114.62115144657</v>
      </c>
      <c r="C3" s="16">
        <v>56542.642046445631</v>
      </c>
      <c r="D3" s="16">
        <v>91846.067581379073</v>
      </c>
      <c r="E3" s="16">
        <v>177854.0596646395</v>
      </c>
      <c r="F3" s="16">
        <v>1132939.8345262448</v>
      </c>
      <c r="G3" s="16">
        <v>0</v>
      </c>
      <c r="H3" s="16">
        <v>150484.45060744535</v>
      </c>
      <c r="I3" s="16">
        <v>81695.831558831705</v>
      </c>
      <c r="J3" s="16">
        <v>51939.758986082008</v>
      </c>
      <c r="K3" s="17">
        <f>SUM(B$3:B3)</f>
        <v>218114.62115144657</v>
      </c>
      <c r="L3" s="17">
        <f>SUM(E3,K3)</f>
        <v>395968.68081608607</v>
      </c>
      <c r="M3" s="17">
        <f t="shared" ref="M3:M12" si="0">L3/($Q$9^(A3-$A$3+1))</f>
        <v>384435.612442802</v>
      </c>
      <c r="N3" s="17">
        <f>(F3*SUM($Q$12,Costs!$F$5)+H3*Costs!$F$7+I3*Costs!$F$7+J3*Costs!$F$7) /($Q$9^(A3-$A$3+1))</f>
        <v>318537671.12607175</v>
      </c>
      <c r="O3" s="17">
        <f>(F3*SUM($Q$12,Costs!$F$5)+H3*Costs!$F$7+I3*Costs!$F$7+J3*Costs!$F$7) /($Q$9^(A3-$A$3+1))</f>
        <v>318537671.12607175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220317.09225418209</v>
      </c>
      <c r="C4" s="16">
        <v>55708.276381712458</v>
      </c>
      <c r="D4" s="16">
        <v>91027.41245348833</v>
      </c>
      <c r="E4" s="16">
        <v>177215.89273240409</v>
      </c>
      <c r="F4" s="16">
        <v>1152389.8551338962</v>
      </c>
      <c r="G4" s="16">
        <v>0</v>
      </c>
      <c r="H4" s="16">
        <v>150019.83200070143</v>
      </c>
      <c r="I4" s="16">
        <v>79649.441703114731</v>
      </c>
      <c r="J4" s="16">
        <v>49901.525221205258</v>
      </c>
      <c r="K4" s="17">
        <f>SUM(B$3:B4)</f>
        <v>438431.71340562869</v>
      </c>
      <c r="L4" s="17">
        <f t="shared" ref="L4:L12" si="1">SUM(E4,K4)</f>
        <v>615647.60613803274</v>
      </c>
      <c r="M4" s="17">
        <f t="shared" si="0"/>
        <v>580306.91501369851</v>
      </c>
      <c r="N4" s="17">
        <f>(F4*SUM($Q$12,Costs!$F$5)+H4*Costs!$F$7+I4*Costs!$F$7+J4*Costs!$F$7) /($Q$9^(A4-$A$3+1))</f>
        <v>313189115.94077551</v>
      </c>
      <c r="O4" s="17">
        <f>(F4*SUM($Q$12,Costs!$F$5)+H4*Costs!$F$7+I4*Costs!$F$7+J4*Costs!$F$7) /($Q$9^(A4-$A$3+1))</f>
        <v>313189115.94077551</v>
      </c>
    </row>
    <row r="5" spans="1:27" x14ac:dyDescent="0.25">
      <c r="A5" s="14">
        <v>2021</v>
      </c>
      <c r="B5" s="15">
        <v>223342.50716537485</v>
      </c>
      <c r="C5" s="16">
        <v>55594.046287075711</v>
      </c>
      <c r="D5" s="16">
        <v>91208.630143140006</v>
      </c>
      <c r="E5" s="16">
        <v>177380.57368728821</v>
      </c>
      <c r="F5" s="16">
        <v>1163733.1216018123</v>
      </c>
      <c r="G5" s="16">
        <v>0</v>
      </c>
      <c r="H5" s="16">
        <v>153342.09627825962</v>
      </c>
      <c r="I5" s="16">
        <v>79677.878871801324</v>
      </c>
      <c r="J5" s="16">
        <v>49071.231953095747</v>
      </c>
      <c r="K5" s="17">
        <f>SUM(B$3:B5)</f>
        <v>661774.22057100351</v>
      </c>
      <c r="L5" s="17">
        <f t="shared" si="1"/>
        <v>839154.79425829172</v>
      </c>
      <c r="M5" s="17">
        <f t="shared" si="0"/>
        <v>767945.51087169233</v>
      </c>
      <c r="N5" s="17">
        <f>(F5*SUM($Q$12,Costs!$F$5)+H5*Costs!$F$7+I5*Costs!$F$7+J5*Costs!$F$7) /($Q$9^(A5-$A$3+1))</f>
        <v>307027212.52852762</v>
      </c>
      <c r="O5" s="17">
        <f>(F5*SUM($Q$12,Costs!$F$5)+H5*Costs!$F$7+I5*Costs!$F$7+J5*Costs!$F$7) /($Q$9^(A5-$A$3+1))</f>
        <v>307027212.52852762</v>
      </c>
      <c r="Q5" s="13" t="s">
        <v>21</v>
      </c>
    </row>
    <row r="6" spans="1:27" x14ac:dyDescent="0.25">
      <c r="A6" s="14">
        <v>2022</v>
      </c>
      <c r="B6" s="15">
        <v>226101.89678964461</v>
      </c>
      <c r="C6" s="16">
        <v>55127.435388445221</v>
      </c>
      <c r="D6" s="16">
        <v>90973.393793450727</v>
      </c>
      <c r="E6" s="16">
        <v>177104.99244696501</v>
      </c>
      <c r="F6" s="16">
        <v>1177981.6053383306</v>
      </c>
      <c r="G6" s="16">
        <v>0</v>
      </c>
      <c r="H6" s="16">
        <v>154336.76651750723</v>
      </c>
      <c r="I6" s="16">
        <v>78770.817294649256</v>
      </c>
      <c r="J6" s="16">
        <v>47664.738416981781</v>
      </c>
      <c r="K6" s="17">
        <f>SUM(B$3:B6)</f>
        <v>887876.11736064812</v>
      </c>
      <c r="L6" s="17">
        <f t="shared" si="1"/>
        <v>1064981.1098076131</v>
      </c>
      <c r="M6" s="17">
        <f t="shared" si="0"/>
        <v>946221.92233894032</v>
      </c>
      <c r="N6" s="17">
        <f>(F6*SUM($Q$12,Costs!$F$5)+H6*Costs!$F$7+I6*Costs!$F$7+J6*Costs!$F$7) /($Q$9^(A6-$A$3+1))</f>
        <v>301075757.74562448</v>
      </c>
      <c r="O6" s="17">
        <f>(F6*SUM($Q$12,Costs!$F$5)+H6*Costs!$F$7+I6*Costs!$F$7+J6*Costs!$F$7) /($Q$9^(A6-$A$3+1))</f>
        <v>301075757.74562448</v>
      </c>
      <c r="Q6" s="38">
        <v>500</v>
      </c>
    </row>
    <row r="7" spans="1:27" x14ac:dyDescent="0.25">
      <c r="A7" s="14">
        <v>2023</v>
      </c>
      <c r="B7" s="15">
        <v>228940.1977397968</v>
      </c>
      <c r="C7" s="16">
        <v>54664.138457744695</v>
      </c>
      <c r="D7" s="16">
        <v>90777.990858695062</v>
      </c>
      <c r="E7" s="16">
        <v>176800.26361385809</v>
      </c>
      <c r="F7" s="16">
        <v>1191414.2592411852</v>
      </c>
      <c r="G7" s="16">
        <v>0</v>
      </c>
      <c r="H7" s="16">
        <v>155057.73777737663</v>
      </c>
      <c r="I7" s="16">
        <v>77920.464294174439</v>
      </c>
      <c r="J7" s="16">
        <v>46279.141790101392</v>
      </c>
      <c r="K7" s="17">
        <f>SUM(B$3:B7)</f>
        <v>1116816.3151004449</v>
      </c>
      <c r="L7" s="17">
        <f t="shared" si="1"/>
        <v>1293616.578714303</v>
      </c>
      <c r="M7" s="17">
        <f t="shared" si="0"/>
        <v>1115885.0244239462</v>
      </c>
      <c r="N7" s="17">
        <f>(F7*SUM($Q$12,Costs!$F$5)+H7*Costs!$F$7+I7*Costs!$F$7+J7*Costs!$F$7) /($Q$9^(A7-$A$3+1))</f>
        <v>295007866.03512752</v>
      </c>
      <c r="O7" s="17">
        <f>(F7*SUM($Q$12,Costs!$F$5)+H7*Costs!$F$7+I7*Costs!$F$7+J7*Costs!$F$7) /($Q$9^(A7-$A$3+1))</f>
        <v>295007866.03512752</v>
      </c>
      <c r="R7" s="20"/>
    </row>
    <row r="8" spans="1:27" x14ac:dyDescent="0.25">
      <c r="A8" s="14">
        <v>2024</v>
      </c>
      <c r="B8" s="15">
        <v>231849.5028095195</v>
      </c>
      <c r="C8" s="16">
        <v>54206.919958680854</v>
      </c>
      <c r="D8" s="16">
        <v>90634.889906969649</v>
      </c>
      <c r="E8" s="16">
        <v>176484.00600356632</v>
      </c>
      <c r="F8" s="16">
        <v>1204151.6545681774</v>
      </c>
      <c r="G8" s="16">
        <v>0</v>
      </c>
      <c r="H8" s="16">
        <v>155503.8826106849</v>
      </c>
      <c r="I8" s="16">
        <v>77126.817145146197</v>
      </c>
      <c r="J8" s="16">
        <v>44927.630245613298</v>
      </c>
      <c r="K8" s="17">
        <f>SUM(B$3:B8)</f>
        <v>1348665.8179099644</v>
      </c>
      <c r="L8" s="17">
        <f t="shared" si="1"/>
        <v>1525149.8239135307</v>
      </c>
      <c r="M8" s="17">
        <f t="shared" si="0"/>
        <v>1277288.9666114296</v>
      </c>
      <c r="N8" s="17">
        <f>(F8*SUM($Q$12,Costs!$F$5)+H8*Costs!$F$7+I8*Costs!$F$7+J8*Costs!$F$7) /($Q$9^(A8-$A$3+1))</f>
        <v>288868149.49022532</v>
      </c>
      <c r="O8" s="17">
        <f>(F8*SUM($Q$12,Costs!$F$5)+H8*Costs!$F$7+I8*Costs!$F$7+J8*Costs!$F$7) /($Q$9^(A8-$A$3+1))</f>
        <v>288868149.49022532</v>
      </c>
      <c r="Q8" s="13" t="s">
        <v>6</v>
      </c>
    </row>
    <row r="9" spans="1:27" x14ac:dyDescent="0.25">
      <c r="A9" s="14">
        <v>2025</v>
      </c>
      <c r="B9" s="15">
        <v>234458.75232042337</v>
      </c>
      <c r="C9" s="16">
        <v>53390.380649154191</v>
      </c>
      <c r="D9" s="16">
        <v>90028.446553243077</v>
      </c>
      <c r="E9" s="16">
        <v>175744.73457793865</v>
      </c>
      <c r="F9" s="16">
        <v>1219921.6489712985</v>
      </c>
      <c r="G9" s="16">
        <v>0</v>
      </c>
      <c r="H9" s="16">
        <v>153437.86536125076</v>
      </c>
      <c r="I9" s="16">
        <v>75364.80343090526</v>
      </c>
      <c r="J9" s="16">
        <v>43066.836076813743</v>
      </c>
      <c r="K9" s="17">
        <f>SUM(B$3:B9)</f>
        <v>1583124.5702303876</v>
      </c>
      <c r="L9" s="17">
        <f t="shared" si="1"/>
        <v>1758869.3048083263</v>
      </c>
      <c r="M9" s="17">
        <f t="shared" si="0"/>
        <v>1430121.7013020359</v>
      </c>
      <c r="N9" s="17">
        <f>(F9*SUM($Q$12,Costs!$F$5)+H9*Costs!$F$7+I9*Costs!$F$7+J9*Costs!$F$7) /($Q$9^(A9-$A$3+1))</f>
        <v>282950020.76144999</v>
      </c>
      <c r="O9" s="17">
        <f>(F9*SUM($Q$12,Costs!$F$5)+H9*Costs!$F$7+I9*Costs!$F$7+J9*Costs!$F$7) /($Q$9^(A9-$A$3+1))</f>
        <v>282950020.76144999</v>
      </c>
      <c r="Q9" s="19">
        <v>1.03</v>
      </c>
    </row>
    <row r="10" spans="1:27" x14ac:dyDescent="0.25">
      <c r="A10" s="14">
        <v>2026</v>
      </c>
      <c r="B10" s="15">
        <v>237486.59483457252</v>
      </c>
      <c r="C10" s="16">
        <v>52938.357125978837</v>
      </c>
      <c r="D10" s="16">
        <v>89933.450261802282</v>
      </c>
      <c r="E10" s="16">
        <v>175382.11433070307</v>
      </c>
      <c r="F10" s="16">
        <v>1231160.7045587671</v>
      </c>
      <c r="G10" s="16">
        <v>0</v>
      </c>
      <c r="H10" s="16">
        <v>153349.44056090072</v>
      </c>
      <c r="I10" s="16">
        <v>74631.923071045239</v>
      </c>
      <c r="J10" s="16">
        <v>41792.503707526848</v>
      </c>
      <c r="K10" s="17">
        <f>SUM(B$3:B10)</f>
        <v>1820611.1650649603</v>
      </c>
      <c r="L10" s="17">
        <f t="shared" si="1"/>
        <v>1995993.2793956634</v>
      </c>
      <c r="M10" s="17">
        <f t="shared" si="0"/>
        <v>1575655.5263834924</v>
      </c>
      <c r="N10" s="17">
        <f>(F10*SUM($Q$12,Costs!$F$5)+H10*Costs!$F$7+I10*Costs!$F$7+J10*Costs!$F$7) /($Q$9^(A10-$A$3+1))</f>
        <v>276675613.46346068</v>
      </c>
      <c r="O10" s="17">
        <f>(F10*SUM($Q$12,Costs!$F$5)+H10*Costs!$F$7+I10*Costs!$F$7+J10*Costs!$F$7) /($Q$9^(A10-$A$3+1))</f>
        <v>276675613.46346068</v>
      </c>
    </row>
    <row r="11" spans="1:27" x14ac:dyDescent="0.25">
      <c r="A11" s="14">
        <v>2027</v>
      </c>
      <c r="B11" s="15">
        <v>240934.32373770201</v>
      </c>
      <c r="C11" s="16">
        <v>52858.20926339693</v>
      </c>
      <c r="D11" s="16">
        <v>90387.245400169661</v>
      </c>
      <c r="E11" s="16">
        <v>175409.39726889067</v>
      </c>
      <c r="F11" s="16">
        <v>1237978.9296293058</v>
      </c>
      <c r="G11" s="16">
        <v>0</v>
      </c>
      <c r="H11" s="16">
        <v>155362.60743119149</v>
      </c>
      <c r="I11" s="16">
        <v>74940.394009866475</v>
      </c>
      <c r="J11" s="16">
        <v>41081.694535894581</v>
      </c>
      <c r="K11" s="17">
        <f>SUM(B$3:B11)</f>
        <v>2061545.4888026624</v>
      </c>
      <c r="L11" s="17">
        <f t="shared" si="1"/>
        <v>2236954.886071553</v>
      </c>
      <c r="M11" s="17">
        <f t="shared" si="0"/>
        <v>1714439.6541830699</v>
      </c>
      <c r="N11" s="17">
        <f>(F11*SUM($Q$12,Costs!$F$5)+H11*Costs!$F$7+I11*Costs!$F$7+J11*Costs!$F$7) /($Q$9^(A11-$A$3+1))</f>
        <v>270118618.37300956</v>
      </c>
      <c r="O11" s="17">
        <f>(F11*SUM($Q$12,Costs!$F$5)+H11*Costs!$F$7+I11*Costs!$F$7+J11*Costs!$F$7) /($Q$9^(A11-$A$3+1))</f>
        <v>270118618.37300956</v>
      </c>
      <c r="Q11" s="6" t="s">
        <v>120</v>
      </c>
    </row>
    <row r="12" spans="1:27" s="27" customFormat="1" x14ac:dyDescent="0.25">
      <c r="A12" s="23">
        <v>2028</v>
      </c>
      <c r="B12" s="24">
        <v>244072.82865022848</v>
      </c>
      <c r="C12" s="25">
        <v>52423.581116347079</v>
      </c>
      <c r="D12" s="25">
        <v>90397.019327880786</v>
      </c>
      <c r="E12" s="25">
        <v>175044.30528857739</v>
      </c>
      <c r="F12" s="25">
        <v>1248113.3527128876</v>
      </c>
      <c r="G12" s="25">
        <v>0</v>
      </c>
      <c r="H12" s="25">
        <v>154899.96606274394</v>
      </c>
      <c r="I12" s="25">
        <v>74260.890586984635</v>
      </c>
      <c r="J12" s="25">
        <v>39884.740599475852</v>
      </c>
      <c r="K12" s="26">
        <f>SUM(B$3:B12)</f>
        <v>2305618.3174528908</v>
      </c>
      <c r="L12" s="26">
        <f t="shared" si="1"/>
        <v>2480662.6227414683</v>
      </c>
      <c r="M12" s="26">
        <f t="shared" si="0"/>
        <v>1845845.9624936772</v>
      </c>
      <c r="N12" s="26">
        <f>(F12*SUM($Q$12,Costs!$F$5)+H12*Costs!$F$7+I12*Costs!$F$7+J12*Costs!$F$7) /($Q$9^(A12-$A$3+1))</f>
        <v>263870881.28072849</v>
      </c>
      <c r="O12" s="26">
        <f>(F12*SUM($Q$12,Costs!$F$5)+H12*Costs!$F$7+I12*Costs!$F$7+J12*Costs!$F$7) /($Q$9^(A12-$A$3+1))</f>
        <v>263870881.28072849</v>
      </c>
      <c r="Q12" s="105">
        <v>90</v>
      </c>
      <c r="V12" s="28"/>
    </row>
    <row r="13" spans="1:27" x14ac:dyDescent="0.25">
      <c r="A13" s="12" t="s">
        <v>0</v>
      </c>
      <c r="B13" s="6">
        <f>SUM(B3:B12)</f>
        <v>2305618.3174528908</v>
      </c>
      <c r="C13" s="6">
        <f>SUM(C3:C12)</f>
        <v>543453.98667498166</v>
      </c>
      <c r="D13" s="6">
        <f t="shared" ref="D13:O13" si="2">SUM(D3:D12)</f>
        <v>907214.54628021864</v>
      </c>
      <c r="E13" s="6">
        <f t="shared" si="2"/>
        <v>1764420.3396148311</v>
      </c>
      <c r="F13" s="6">
        <f t="shared" si="2"/>
        <v>11959784.966281906</v>
      </c>
      <c r="G13" s="6">
        <f t="shared" si="2"/>
        <v>0</v>
      </c>
      <c r="H13" s="6">
        <f t="shared" si="2"/>
        <v>1535794.6452080619</v>
      </c>
      <c r="I13" s="6">
        <f t="shared" si="2"/>
        <v>774039.26196651929</v>
      </c>
      <c r="J13" s="6">
        <f t="shared" si="2"/>
        <v>455609.80153279047</v>
      </c>
      <c r="K13" s="6">
        <f t="shared" si="2"/>
        <v>12442578.347050037</v>
      </c>
      <c r="L13" s="6">
        <f t="shared" si="2"/>
        <v>14206998.686664868</v>
      </c>
      <c r="M13" s="6">
        <f t="shared" si="2"/>
        <v>11638146.796064783</v>
      </c>
      <c r="N13" s="6">
        <f t="shared" si="2"/>
        <v>2917320906.7450008</v>
      </c>
      <c r="O13" s="6">
        <f t="shared" si="2"/>
        <v>2917320906.7450008</v>
      </c>
      <c r="V13" s="18"/>
    </row>
    <row r="15" spans="1:27" ht="15" x14ac:dyDescent="0.4">
      <c r="B15" s="7" t="s">
        <v>20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33" x14ac:dyDescent="0.25">
      <c r="A17" s="14">
        <v>2019</v>
      </c>
      <c r="B17" s="15">
        <v>215837.70973890933</v>
      </c>
      <c r="C17" s="16">
        <v>54263.919750704823</v>
      </c>
      <c r="D17" s="16">
        <v>88409.30081585687</v>
      </c>
      <c r="E17" s="16">
        <v>174851.7298649541</v>
      </c>
      <c r="F17" s="16">
        <v>1021877.6108288184</v>
      </c>
      <c r="G17" s="16">
        <v>110714.96606853355</v>
      </c>
      <c r="H17" s="16">
        <v>150312.73742326093</v>
      </c>
      <c r="I17" s="16">
        <v>81686.250472136278</v>
      </c>
      <c r="J17" s="16">
        <v>51936.382090567</v>
      </c>
      <c r="K17" s="17">
        <f>SUM(B17:B17)</f>
        <v>215837.70973890933</v>
      </c>
      <c r="L17" s="17">
        <f>SUM(E17,K17)</f>
        <v>390689.4396038634</v>
      </c>
      <c r="M17" s="17">
        <f t="shared" ref="M17:M26" si="3">L17/($Q$9^(A17-$A$3+1))</f>
        <v>379310.13553773146</v>
      </c>
      <c r="N17" s="17">
        <f>(F17*SUM($Q$12,Costs!$F$5)+G17*SUM($Q$12,Costs!$F$5,$W26)+H17*Costs!$F$7+I17*Costs!$F$7+J17*Costs!$F$7) /($Q$9^(A17-$A$3+1))</f>
        <v>328126540.83967584</v>
      </c>
      <c r="O17" s="17">
        <f>(F17*SUM($Q$12,Costs!$F$5)+G17*SUM($Q$12,Costs!$F$5,$W27)+H17*Costs!$F$7+I17*Costs!$F$7+J17*Costs!$F$7) /($Q$9^(A17-$A$3+1))</f>
        <v>343891937.06764466</v>
      </c>
      <c r="Q17" s="32">
        <f>M$3-M17</f>
        <v>5125.4769050705363</v>
      </c>
      <c r="R17" s="27">
        <f>B$3-B17</f>
        <v>2276.9114125372435</v>
      </c>
      <c r="S17" s="27">
        <f>D$3-D17</f>
        <v>3436.7667655222031</v>
      </c>
      <c r="T17" s="27"/>
      <c r="U17" s="33"/>
    </row>
    <row r="18" spans="1:33" x14ac:dyDescent="0.25">
      <c r="A18" s="14">
        <v>2020</v>
      </c>
      <c r="B18" s="15">
        <v>218099.20714175311</v>
      </c>
      <c r="C18" s="16">
        <v>53483.87496210471</v>
      </c>
      <c r="D18" s="16">
        <v>87493.645480449253</v>
      </c>
      <c r="E18" s="16">
        <v>174232.32581825106</v>
      </c>
      <c r="F18" s="16">
        <v>1043038.9056927674</v>
      </c>
      <c r="G18" s="16">
        <v>108153.72710768765</v>
      </c>
      <c r="H18" s="16">
        <v>149505.64076353738</v>
      </c>
      <c r="I18" s="16">
        <v>79610.17354764622</v>
      </c>
      <c r="J18" s="16">
        <v>49890.420022359816</v>
      </c>
      <c r="K18" s="17">
        <f>SUM(B17:B18)</f>
        <v>433936.91688066244</v>
      </c>
      <c r="L18" s="17">
        <f t="shared" ref="L18:L26" si="4">SUM(E18,K18)</f>
        <v>608169.24269891344</v>
      </c>
      <c r="M18" s="17">
        <f t="shared" si="3"/>
        <v>573257.84022896923</v>
      </c>
      <c r="N18" s="17">
        <f>(F18*SUM($Q$12,Costs!$F$5)+G18*SUM($Q$12,Costs!$F$5,$W26)+H18*Costs!$F$7+I18*Costs!$F$7+J18*Costs!$F$7) /($Q$9^(A18-$A$3+1))</f>
        <v>322024385.00620788</v>
      </c>
      <c r="O18" s="17">
        <f>(F18*SUM($Q$12,Costs!$F$5)+G18*SUM($Q$12,Costs!$F$5,$W27)+H18*Costs!$F$7+I18*Costs!$F$7+J18*Costs!$F$7) /($Q$9^(A18-$A$3+1))</f>
        <v>336976506.75282615</v>
      </c>
      <c r="Q18" s="32">
        <f>M$4-M18</f>
        <v>7049.0747847292805</v>
      </c>
      <c r="R18" s="27">
        <f>B$4-B18</f>
        <v>2217.8851124289795</v>
      </c>
      <c r="S18" s="27">
        <f>D$4-D18</f>
        <v>3533.7669730390771</v>
      </c>
      <c r="T18" s="27"/>
      <c r="U18" s="33"/>
    </row>
    <row r="19" spans="1:33" x14ac:dyDescent="0.25">
      <c r="A19" s="14">
        <v>2021</v>
      </c>
      <c r="B19" s="15">
        <v>221194.95778092701</v>
      </c>
      <c r="C19" s="16">
        <v>53434.073046950529</v>
      </c>
      <c r="D19" s="16">
        <v>87596.482930411337</v>
      </c>
      <c r="E19" s="16">
        <v>174410.14352470348</v>
      </c>
      <c r="F19" s="16">
        <v>1056714.6975709905</v>
      </c>
      <c r="G19" s="16">
        <v>104840.38064739123</v>
      </c>
      <c r="H19" s="16">
        <v>152509.29289851958</v>
      </c>
      <c r="I19" s="16">
        <v>79586.774800875486</v>
      </c>
      <c r="J19" s="16">
        <v>49049.788593133591</v>
      </c>
      <c r="K19" s="17">
        <f>SUM(B17:B19)</f>
        <v>655131.87466158951</v>
      </c>
      <c r="L19" s="17">
        <f t="shared" si="4"/>
        <v>829542.01818629296</v>
      </c>
      <c r="M19" s="17">
        <f t="shared" si="3"/>
        <v>759148.45902617299</v>
      </c>
      <c r="N19" s="17">
        <f>(F19*SUM($Q$12,Costs!$F$5)+G19*SUM($Q$12,Costs!$F$5,$W26)+H19*Costs!$F$7+I19*Costs!$F$7+J19*Costs!$F$7) /($Q$9^(A19-$A$3+1))</f>
        <v>315052383.97630113</v>
      </c>
      <c r="O19" s="17">
        <f>(F19*SUM($Q$12,Costs!$F$5)+G19*SUM($Q$12,Costs!$F$5,$W27)+H19*Costs!$F$7+I19*Costs!$F$7+J19*Costs!$F$7) /($Q$9^(A19-$A$3+1))</f>
        <v>329124282.62924623</v>
      </c>
      <c r="Q19" s="32">
        <f>M$5-M19</f>
        <v>8797.0518455193378</v>
      </c>
      <c r="R19" s="27">
        <f>B$5-B19</f>
        <v>2147.5493844478333</v>
      </c>
      <c r="S19" s="27">
        <f>D$5-D19</f>
        <v>3612.1472127286688</v>
      </c>
      <c r="T19" s="27"/>
      <c r="U19" s="33"/>
    </row>
    <row r="20" spans="1:33" x14ac:dyDescent="0.25">
      <c r="A20" s="14">
        <v>2022</v>
      </c>
      <c r="B20" s="15">
        <v>224014.64920125573</v>
      </c>
      <c r="C20" s="16">
        <v>53020.860515885382</v>
      </c>
      <c r="D20" s="16">
        <v>87238.384417042253</v>
      </c>
      <c r="E20" s="16">
        <v>174112.26321014826</v>
      </c>
      <c r="F20" s="16">
        <v>1072818.5878960029</v>
      </c>
      <c r="G20" s="16">
        <v>101854.22532752325</v>
      </c>
      <c r="H20" s="16">
        <v>153208.90549247892</v>
      </c>
      <c r="I20" s="16">
        <v>78604.124118823951</v>
      </c>
      <c r="J20" s="16">
        <v>47630.845859684399</v>
      </c>
      <c r="K20" s="17">
        <f>SUM(B17:B20)</f>
        <v>879146.52386284526</v>
      </c>
      <c r="L20" s="17">
        <f>SUM(E20,K20)</f>
        <v>1053258.7870729936</v>
      </c>
      <c r="M20" s="17">
        <f t="shared" si="3"/>
        <v>935806.79041774326</v>
      </c>
      <c r="N20" s="17">
        <f>(F20*SUM($Q$12,Costs!$F$5)+G20*SUM($Q$12,Costs!$F$5,$W26)+H20*Costs!$F$7+I20*Costs!$F$7+J20*Costs!$F$7) /($Q$9^(A20-$A$3+1))</f>
        <v>308323056.17944843</v>
      </c>
      <c r="O20" s="17">
        <f>(F20*SUM($Q$12,Costs!$F$5)+G20*SUM($Q$12,Costs!$F$5,$W27)+H20*Costs!$F$7+I20*Costs!$F$7+J20*Costs!$F$7) /($Q$9^(A20-$A$3+1))</f>
        <v>321595959.61731029</v>
      </c>
      <c r="Q20" s="32">
        <f>M$6-M20</f>
        <v>10415.131921197055</v>
      </c>
      <c r="R20" s="27">
        <f>B$6-B20</f>
        <v>2087.2475883888837</v>
      </c>
      <c r="S20" s="27">
        <f>D$6-D20</f>
        <v>3735.0093764084741</v>
      </c>
      <c r="T20" s="27"/>
      <c r="U20" s="33"/>
      <c r="X20" s="47"/>
      <c r="Y20" s="34"/>
      <c r="Z20" s="34"/>
    </row>
    <row r="21" spans="1:33" ht="14.4" x14ac:dyDescent="0.3">
      <c r="A21" s="14">
        <v>2023</v>
      </c>
      <c r="B21" s="15">
        <v>226906.5478432755</v>
      </c>
      <c r="C21" s="16">
        <v>52603.424595558572</v>
      </c>
      <c r="D21" s="16">
        <v>86892.103435930781</v>
      </c>
      <c r="E21" s="16">
        <v>173754.32982696532</v>
      </c>
      <c r="F21" s="16">
        <v>1087946.7039414544</v>
      </c>
      <c r="G21" s="16">
        <v>98864.0590247527</v>
      </c>
      <c r="H21" s="16">
        <v>153648.06721583562</v>
      </c>
      <c r="I21" s="16">
        <v>77652.039468178467</v>
      </c>
      <c r="J21" s="16">
        <v>46228.734794119438</v>
      </c>
      <c r="K21" s="17">
        <f>SUM(B17:B21)</f>
        <v>1106053.0717061209</v>
      </c>
      <c r="L21" s="17">
        <f t="shared" si="4"/>
        <v>1279807.4015330861</v>
      </c>
      <c r="M21" s="17">
        <f t="shared" si="3"/>
        <v>1103973.1068823112</v>
      </c>
      <c r="N21" s="17">
        <f>(F21*SUM($Q$12,Costs!$F$5)+G21*SUM($Q$12,Costs!$F$5,$W26)+H21*Costs!$F$7+I21*Costs!$F$7+J21*Costs!$F$7) /($Q$9^(A21-$A$3+1))</f>
        <v>301477763.27308154</v>
      </c>
      <c r="O21" s="17">
        <f>(F21*SUM($Q$12,Costs!$F$5)+G21*SUM($Q$12,Costs!$F$5,$W27)+H21*Costs!$F$7+I21*Costs!$F$7+J21*Costs!$F$7) /($Q$9^(A21-$A$3+1))</f>
        <v>313985769.74532449</v>
      </c>
      <c r="Q21" s="32">
        <f>M$7-M21</f>
        <v>11911.91754163499</v>
      </c>
      <c r="R21" s="27">
        <f>B$7-B21</f>
        <v>2033.6498965212959</v>
      </c>
      <c r="S21" s="27">
        <f>D$7-D21</f>
        <v>3885.8874227642809</v>
      </c>
      <c r="T21" s="27"/>
      <c r="U21" s="33"/>
      <c r="X21" s="47"/>
      <c r="Y21" s="34"/>
      <c r="Z21" s="34"/>
      <c r="AD21" s="63"/>
      <c r="AE21" s="64"/>
      <c r="AF21" s="64"/>
      <c r="AG21" s="64"/>
    </row>
    <row r="22" spans="1:33" ht="14.4" x14ac:dyDescent="0.3">
      <c r="A22" s="14">
        <v>2024</v>
      </c>
      <c r="B22" s="15">
        <v>229860.75010849186</v>
      </c>
      <c r="C22" s="16">
        <v>52182.67257269931</v>
      </c>
      <c r="D22" s="16">
        <v>86577.184961864201</v>
      </c>
      <c r="E22" s="16">
        <v>173352.40329114199</v>
      </c>
      <c r="F22" s="16">
        <v>1102159.7076492843</v>
      </c>
      <c r="G22" s="16">
        <v>95915.108013026329</v>
      </c>
      <c r="H22" s="16">
        <v>153824.13974616307</v>
      </c>
      <c r="I22" s="16">
        <v>76733.260893215804</v>
      </c>
      <c r="J22" s="16">
        <v>44855.675294549699</v>
      </c>
      <c r="K22" s="17">
        <f>SUM(B17:B22)</f>
        <v>1335913.8218146127</v>
      </c>
      <c r="L22" s="17">
        <f t="shared" si="4"/>
        <v>1509266.2251057548</v>
      </c>
      <c r="M22" s="17">
        <f t="shared" si="3"/>
        <v>1263986.7026704382</v>
      </c>
      <c r="N22" s="17">
        <f>(F22*SUM($Q$12,Costs!$F$5)+G22*SUM($Q$12,Costs!$F$5,$W26)+H22*Costs!$F$7+I22*Costs!$F$7+J22*Costs!$F$7) /($Q$9^(A22-$A$3+1))</f>
        <v>294563228.07692784</v>
      </c>
      <c r="O22" s="17">
        <f>(F22*SUM($Q$12,Costs!$F$5)+G22*SUM($Q$12,Costs!$F$5,$W27)+H22*Costs!$F$7+I22*Costs!$F$7+J22*Costs!$F$7) /($Q$9^(A22-$A$3+1))</f>
        <v>306344697.36957341</v>
      </c>
      <c r="Q22" s="32">
        <f>M$8-M22</f>
        <v>13302.263940991368</v>
      </c>
      <c r="R22" s="27">
        <f>B$8-B22</f>
        <v>1988.752701027639</v>
      </c>
      <c r="S22" s="27">
        <f>D$8-D22</f>
        <v>4057.7049451054481</v>
      </c>
      <c r="T22" s="27"/>
      <c r="U22" s="33"/>
      <c r="X22" s="47"/>
      <c r="Y22" s="34"/>
      <c r="Z22" s="34"/>
      <c r="AD22" s="63"/>
      <c r="AE22" s="64"/>
      <c r="AF22" s="64"/>
      <c r="AG22" s="64"/>
    </row>
    <row r="23" spans="1:33" ht="14.4" x14ac:dyDescent="0.3">
      <c r="A23" s="14">
        <v>2025</v>
      </c>
      <c r="B23" s="15">
        <v>232500.94745589222</v>
      </c>
      <c r="C23" s="16">
        <v>51388.05494776649</v>
      </c>
      <c r="D23" s="16">
        <v>85779.119710490602</v>
      </c>
      <c r="E23" s="16">
        <v>172490.15894311343</v>
      </c>
      <c r="F23" s="16">
        <v>1118857.0999892773</v>
      </c>
      <c r="G23" s="16">
        <v>93306.619170400605</v>
      </c>
      <c r="H23" s="16">
        <v>151506.6616538997</v>
      </c>
      <c r="I23" s="16">
        <v>74834.918524888359</v>
      </c>
      <c r="J23" s="16">
        <v>42969.819860630319</v>
      </c>
      <c r="K23" s="17">
        <f>SUM(B17:B23)</f>
        <v>1568414.7692705048</v>
      </c>
      <c r="L23" s="17">
        <f t="shared" si="4"/>
        <v>1740904.9282136182</v>
      </c>
      <c r="M23" s="17">
        <f t="shared" si="3"/>
        <v>1415515.0191863037</v>
      </c>
      <c r="N23" s="17">
        <f>(F23*SUM($Q$12,Costs!$F$5)+G23*SUM($Q$12,Costs!$F$5,$W26)+H23*Costs!$F$7+I23*Costs!$F$7+J23*Costs!$F$7) /($Q$9^(A23-$A$3+1))</f>
        <v>287893065.17915249</v>
      </c>
      <c r="O23" s="17">
        <f>(F23*SUM($Q$12,Costs!$F$5)+G23*SUM($Q$12,Costs!$F$5,$W27)+H23*Costs!$F$7+I23*Costs!$F$7+J23*Costs!$F$7) /($Q$9^(A23-$A$3+1))</f>
        <v>299020310.53659207</v>
      </c>
      <c r="Q23" s="32">
        <f>M$9-M23</f>
        <v>14606.682115732227</v>
      </c>
      <c r="R23" s="27">
        <f>B$9-B23</f>
        <v>1957.8048645311501</v>
      </c>
      <c r="S23" s="27">
        <f>D$9-D23</f>
        <v>4249.3268427524745</v>
      </c>
      <c r="T23" s="27"/>
      <c r="U23" s="33"/>
      <c r="AD23" s="63"/>
      <c r="AE23" s="64"/>
      <c r="AF23" s="64"/>
      <c r="AG23" s="64"/>
    </row>
    <row r="24" spans="1:33" ht="15" thickBot="1" x14ac:dyDescent="0.35">
      <c r="A24" s="14">
        <v>2026</v>
      </c>
      <c r="B24" s="15">
        <v>235553.02000314542</v>
      </c>
      <c r="C24" s="16">
        <v>50950.713638272682</v>
      </c>
      <c r="D24" s="16">
        <v>85482.205254742585</v>
      </c>
      <c r="E24" s="16">
        <v>171976.50830683683</v>
      </c>
      <c r="F24" s="16">
        <v>1131081.6594688683</v>
      </c>
      <c r="G24" s="16">
        <v>90471.608947455417</v>
      </c>
      <c r="H24" s="16">
        <v>151160.28089271506</v>
      </c>
      <c r="I24" s="16">
        <v>73943.791555696269</v>
      </c>
      <c r="J24" s="16">
        <v>41661.005818820049</v>
      </c>
      <c r="K24" s="17">
        <f>SUM(B17:B24)</f>
        <v>1803967.7892736502</v>
      </c>
      <c r="L24" s="17">
        <f t="shared" si="4"/>
        <v>1975944.2975804871</v>
      </c>
      <c r="M24" s="17">
        <f t="shared" si="3"/>
        <v>1559828.675</v>
      </c>
      <c r="N24" s="17">
        <f>(F24*SUM($Q$12,Costs!$F$5)+G24*SUM($Q$12,Costs!$F$5,$W26)+H24*Costs!$F$7+I24*Costs!$F$7+J24*Costs!$F$7) /($Q$9^(A24-$A$3+1))</f>
        <v>280851499.88877338</v>
      </c>
      <c r="O24" s="17">
        <f>(F24*SUM($Q$12,Costs!$F$5)+G24*SUM($Q$12,Costs!$F$5,$W27)+H24*Costs!$F$7+I24*Costs!$F$7+J24*Costs!$F$7) /($Q$9^(A24-$A$3+1))</f>
        <v>291326409.88128185</v>
      </c>
      <c r="Q24" s="32">
        <f>M$10-M24</f>
        <v>15826.851383492351</v>
      </c>
      <c r="R24" s="27">
        <f>B$10-B24</f>
        <v>1933.5748314271041</v>
      </c>
      <c r="S24" s="27">
        <f>D$10-D24</f>
        <v>4451.2450070596969</v>
      </c>
      <c r="T24" s="27"/>
      <c r="U24" s="33"/>
      <c r="AD24" s="63"/>
      <c r="AE24" s="64"/>
      <c r="AF24" s="64"/>
      <c r="AG24" s="64"/>
    </row>
    <row r="25" spans="1:33" x14ac:dyDescent="0.25">
      <c r="A25" s="14">
        <v>2027</v>
      </c>
      <c r="B25" s="15">
        <v>239015.71073950786</v>
      </c>
      <c r="C25" s="16">
        <v>50875.50884927038</v>
      </c>
      <c r="D25" s="16">
        <v>85717.042136508229</v>
      </c>
      <c r="E25" s="16">
        <v>171821.56900774068</v>
      </c>
      <c r="F25" s="16">
        <v>1138871.3000243073</v>
      </c>
      <c r="G25" s="16">
        <v>87491.615622395242</v>
      </c>
      <c r="H25" s="16">
        <v>152899.97103940832</v>
      </c>
      <c r="I25" s="16">
        <v>74069.81301054194</v>
      </c>
      <c r="J25" s="16">
        <v>40903.907076701507</v>
      </c>
      <c r="K25" s="17">
        <f>SUM(B17:B25)</f>
        <v>2042983.500013158</v>
      </c>
      <c r="L25" s="17">
        <f t="shared" si="4"/>
        <v>2214805.0690208985</v>
      </c>
      <c r="M25" s="17">
        <f t="shared" si="3"/>
        <v>1697463.6637770983</v>
      </c>
      <c r="N25" s="17">
        <f>(F25*SUM($Q$12,Costs!$F$5)+G25*SUM($Q$12,Costs!$F$5,$W26)+H25*Costs!$F$7+I25*Costs!$F$7+J25*Costs!$F$7) /($Q$9^(A25-$A$3+1))</f>
        <v>273521122.2087121</v>
      </c>
      <c r="O25" s="17">
        <f>(F25*SUM($Q$12,Costs!$F$5)+G25*SUM($Q$12,Costs!$F$5,$W27)+H25*Costs!$F$7+I25*Costs!$F$7+J25*Costs!$F$7) /($Q$9^(A25-$A$3+1))</f>
        <v>283355959.91487139</v>
      </c>
      <c r="Q25" s="32">
        <f>M$11-M25</f>
        <v>16975.99040597165</v>
      </c>
      <c r="R25" s="27">
        <f>B$11-B25</f>
        <v>1918.6129981941485</v>
      </c>
      <c r="S25" s="27">
        <f>D$11-D25</f>
        <v>4670.2032636614313</v>
      </c>
      <c r="T25" s="27"/>
      <c r="U25" s="33"/>
      <c r="W25" s="21" t="s">
        <v>25</v>
      </c>
      <c r="X25" s="48" t="s">
        <v>29</v>
      </c>
    </row>
    <row r="26" spans="1:33" ht="13.8" thickBot="1" x14ac:dyDescent="0.3">
      <c r="A26" s="23">
        <v>2028</v>
      </c>
      <c r="B26" s="24">
        <v>242154.59176030371</v>
      </c>
      <c r="C26" s="25">
        <v>50430.790300612018</v>
      </c>
      <c r="D26" s="25">
        <v>85489.196844177626</v>
      </c>
      <c r="E26" s="25">
        <v>171238.74223538372</v>
      </c>
      <c r="F26" s="25">
        <v>1149324.7304847557</v>
      </c>
      <c r="G26" s="25">
        <v>84933.535315799003</v>
      </c>
      <c r="H26" s="25">
        <v>152177.6923030852</v>
      </c>
      <c r="I26" s="25">
        <v>73212.864379104445</v>
      </c>
      <c r="J26" s="25">
        <v>39656.351110143325</v>
      </c>
      <c r="K26" s="26">
        <f>SUM(B17:B26)</f>
        <v>2285138.0917734616</v>
      </c>
      <c r="L26" s="26">
        <f t="shared" si="4"/>
        <v>2456376.8340088455</v>
      </c>
      <c r="M26" s="26">
        <f t="shared" si="3"/>
        <v>1827775.0548792651</v>
      </c>
      <c r="N26" s="26">
        <f>(F26*SUM($Q$12,Costs!$F$5)+G26*SUM($Q$12,Costs!$F$5,$W26)+H26*Costs!$F$7+I26*Costs!$F$7+J26*Costs!$F$7) /($Q$9^(A26-$A$3+1))</f>
        <v>266528536.34609553</v>
      </c>
      <c r="O26" s="26">
        <f>(F26*SUM($Q$12,Costs!$F$5)+G26*SUM($Q$12,Costs!$F$5,$W27)+H26*Costs!$F$7+I26*Costs!$F$7+J26*Costs!$F$7) /($Q$9^(A26-$A$3+1))</f>
        <v>275797746.70612639</v>
      </c>
      <c r="Q26" s="35">
        <f>M$12-M26</f>
        <v>18070.907614412019</v>
      </c>
      <c r="R26" s="27">
        <f>B$12-B26</f>
        <v>1918.2368899247667</v>
      </c>
      <c r="S26" s="27">
        <f>D$12-D26</f>
        <v>4907.8224837031594</v>
      </c>
      <c r="T26" s="42"/>
      <c r="U26" s="36"/>
      <c r="W26" s="43">
        <v>90.252079373948902</v>
      </c>
      <c r="X26" s="49">
        <f>$Q$6</f>
        <v>500</v>
      </c>
      <c r="Y26" s="22" t="s">
        <v>62</v>
      </c>
      <c r="Z26" s="27"/>
    </row>
    <row r="27" spans="1:33" ht="13.8" thickBot="1" x14ac:dyDescent="0.3">
      <c r="A27" s="12" t="s">
        <v>0</v>
      </c>
      <c r="B27" s="6">
        <f t="shared" ref="B27:O27" si="5">SUM(B17:B26)</f>
        <v>2285138.0917734616</v>
      </c>
      <c r="C27" s="6">
        <f>SUM(C17:C26)</f>
        <v>522633.89317982481</v>
      </c>
      <c r="D27" s="6">
        <f t="shared" si="5"/>
        <v>866674.6659874738</v>
      </c>
      <c r="E27" s="6">
        <f t="shared" si="5"/>
        <v>1732240.1740292385</v>
      </c>
      <c r="F27" s="6">
        <f t="shared" si="5"/>
        <v>10922691.003546527</v>
      </c>
      <c r="G27" s="6">
        <f t="shared" si="5"/>
        <v>976545.84524496505</v>
      </c>
      <c r="H27" s="6">
        <f t="shared" si="5"/>
        <v>1520753.389428904</v>
      </c>
      <c r="I27" s="6">
        <f t="shared" si="5"/>
        <v>769934.01077110728</v>
      </c>
      <c r="J27" s="6">
        <f t="shared" si="5"/>
        <v>454782.93052070914</v>
      </c>
      <c r="K27" s="6">
        <f t="shared" si="5"/>
        <v>12326524.068995515</v>
      </c>
      <c r="L27" s="6">
        <f t="shared" si="5"/>
        <v>14058764.243024752</v>
      </c>
      <c r="M27" s="6">
        <f t="shared" si="5"/>
        <v>11516065.447606033</v>
      </c>
      <c r="N27" s="6">
        <f t="shared" si="5"/>
        <v>2978361580.9743762</v>
      </c>
      <c r="O27" s="6">
        <f t="shared" si="5"/>
        <v>3101419580.2207966</v>
      </c>
      <c r="Q27" s="6">
        <f>SUM(Q17:Q26)</f>
        <v>122081.34845875081</v>
      </c>
      <c r="R27" s="37">
        <f>SUM(R17:R26)</f>
        <v>20480.225679429044</v>
      </c>
      <c r="S27" s="37">
        <f>SUM(S17:S26)</f>
        <v>40539.880292744914</v>
      </c>
      <c r="T27" s="18">
        <f>(N27-N$13)/Q27</f>
        <v>499.99999999999966</v>
      </c>
      <c r="U27" s="18">
        <f>(O27-O$13)/Q27</f>
        <v>1507.9999999999961</v>
      </c>
      <c r="W27" s="44">
        <v>236.92021911538373</v>
      </c>
      <c r="X27" s="50">
        <f>$Q$3</f>
        <v>1508</v>
      </c>
      <c r="Y27" s="22" t="s">
        <v>63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R29"/>
  <sheetViews>
    <sheetView topLeftCell="B1" zoomScale="90" zoomScaleNormal="90" workbookViewId="0">
      <selection activeCell="M10" sqref="M10"/>
    </sheetView>
  </sheetViews>
  <sheetFormatPr defaultRowHeight="14.4" x14ac:dyDescent="0.3"/>
  <cols>
    <col min="2" max="2" width="63.6640625" customWidth="1"/>
    <col min="3" max="3" width="13.33203125" customWidth="1"/>
    <col min="4" max="4" width="13.33203125" bestFit="1" customWidth="1"/>
    <col min="5" max="5" width="3.6640625" customWidth="1"/>
    <col min="7" max="7" width="50.88671875" customWidth="1"/>
  </cols>
  <sheetData>
    <row r="2" spans="2:18" x14ac:dyDescent="0.3">
      <c r="C2" s="85" t="s">
        <v>82</v>
      </c>
      <c r="D2" s="60" t="s">
        <v>83</v>
      </c>
    </row>
    <row r="3" spans="2:18" x14ac:dyDescent="0.3">
      <c r="B3" t="s">
        <v>101</v>
      </c>
      <c r="C3" s="110">
        <f>CEA!W96</f>
        <v>88.877234331278288</v>
      </c>
      <c r="D3" s="110">
        <f>CEA!W82</f>
        <v>90.176489188662543</v>
      </c>
      <c r="M3" s="95">
        <f>D3-C3</f>
        <v>1.2992548573842555</v>
      </c>
    </row>
    <row r="4" spans="2:18" x14ac:dyDescent="0.3">
      <c r="B4" t="s">
        <v>121</v>
      </c>
      <c r="C4" s="108">
        <f>'Sens $60 Oral'!W26</f>
        <v>88.515658776713735</v>
      </c>
      <c r="D4" s="110">
        <f>'Sens $90 Oral'!W26</f>
        <v>90.252079373948902</v>
      </c>
      <c r="M4" s="95">
        <f t="shared" ref="M4" si="0">D4-C4</f>
        <v>1.736420597235167</v>
      </c>
    </row>
    <row r="5" spans="2:18" x14ac:dyDescent="0.3">
      <c r="B5" t="s">
        <v>125</v>
      </c>
      <c r="C5" s="80">
        <f>'Sens ART High'!W26</f>
        <v>87.048954828577564</v>
      </c>
      <c r="D5" s="80">
        <f>'Sens ART Low'!W26</f>
        <v>90.461303645790295</v>
      </c>
      <c r="L5" s="6"/>
      <c r="M5" s="95">
        <f t="shared" ref="M5:M8" si="1">D5-C5</f>
        <v>3.412348817212731</v>
      </c>
      <c r="N5" s="6"/>
      <c r="O5" s="6"/>
      <c r="P5" s="6"/>
      <c r="Q5" s="6"/>
      <c r="R5" s="6"/>
    </row>
    <row r="6" spans="2:18" x14ac:dyDescent="0.3">
      <c r="B6" t="s">
        <v>124</v>
      </c>
      <c r="C6" s="80">
        <f>'Sens partners low'!W26</f>
        <v>81.748560838261255</v>
      </c>
      <c r="D6" s="80">
        <f>'Sens partners high'!W26</f>
        <v>96.50507825679469</v>
      </c>
      <c r="L6" s="6"/>
      <c r="M6" s="95">
        <f t="shared" si="1"/>
        <v>14.756517418533434</v>
      </c>
      <c r="N6" s="6"/>
      <c r="O6" s="6"/>
      <c r="P6" s="6"/>
      <c r="Q6" s="6"/>
      <c r="R6" s="6"/>
    </row>
    <row r="7" spans="2:18" x14ac:dyDescent="0.3">
      <c r="B7" t="s">
        <v>119</v>
      </c>
      <c r="C7" s="112">
        <f>'Sens pop dropout low'!W26</f>
        <v>64.645458788843357</v>
      </c>
      <c r="D7" s="112">
        <f>'Sens pop dropout high'!W26</f>
        <v>114.39971880431841</v>
      </c>
      <c r="L7" s="6"/>
      <c r="M7" s="95">
        <f>D7-C7</f>
        <v>49.754260015475055</v>
      </c>
      <c r="N7" s="6"/>
      <c r="O7" s="6"/>
      <c r="P7" s="6"/>
      <c r="Q7" s="6"/>
      <c r="R7" s="6"/>
    </row>
    <row r="8" spans="2:18" x14ac:dyDescent="0.3">
      <c r="B8" t="s">
        <v>126</v>
      </c>
      <c r="C8" s="80">
        <f>'Sens AYA dropout low'!W26</f>
        <v>64.329496663754128</v>
      </c>
      <c r="D8" s="80">
        <f>'Sens AYA dropout high'!W26</f>
        <v>114.97816882379644</v>
      </c>
      <c r="L8" s="6"/>
      <c r="M8" s="95">
        <f t="shared" si="1"/>
        <v>50.64867216004231</v>
      </c>
      <c r="N8" s="6"/>
      <c r="O8" s="6"/>
      <c r="P8" s="6"/>
      <c r="Q8" s="6"/>
      <c r="R8" s="6"/>
    </row>
    <row r="9" spans="2:18" x14ac:dyDescent="0.3">
      <c r="B9" t="s">
        <v>84</v>
      </c>
      <c r="C9" s="80">
        <f>CEA!W40</f>
        <v>43.960183382064741</v>
      </c>
      <c r="D9" s="80">
        <f>CEA!W54</f>
        <v>118.87580141457873</v>
      </c>
      <c r="L9" s="6"/>
      <c r="M9" s="95">
        <f>D10-C10</f>
        <v>185.3</v>
      </c>
      <c r="N9" s="6"/>
      <c r="O9" s="6"/>
      <c r="P9" s="6"/>
      <c r="Q9" s="6"/>
      <c r="R9" s="6"/>
    </row>
    <row r="10" spans="2:18" x14ac:dyDescent="0.3">
      <c r="B10" t="s">
        <v>134</v>
      </c>
      <c r="C10" s="80"/>
      <c r="D10" s="118">
        <f>'Sens 20 year'!W46</f>
        <v>185.3</v>
      </c>
      <c r="M10" s="95"/>
    </row>
    <row r="11" spans="2:18" x14ac:dyDescent="0.3">
      <c r="C11" s="81"/>
      <c r="D11" s="81"/>
    </row>
    <row r="12" spans="2:18" x14ac:dyDescent="0.3">
      <c r="C12" s="81"/>
      <c r="D12" s="81"/>
    </row>
    <row r="13" spans="2:18" x14ac:dyDescent="0.3">
      <c r="C13" s="81"/>
      <c r="D13" s="81"/>
    </row>
    <row r="14" spans="2:18" x14ac:dyDescent="0.3">
      <c r="C14" s="82"/>
      <c r="D14" s="82"/>
    </row>
    <row r="15" spans="2:18" x14ac:dyDescent="0.3">
      <c r="C15" s="82"/>
      <c r="D15" s="82"/>
    </row>
    <row r="16" spans="2:18" x14ac:dyDescent="0.3">
      <c r="C16" s="82"/>
      <c r="D16" s="82"/>
    </row>
    <row r="17" spans="2:13" x14ac:dyDescent="0.3">
      <c r="C17" s="82"/>
      <c r="D17" s="82"/>
    </row>
    <row r="18" spans="2:13" x14ac:dyDescent="0.3">
      <c r="C18" s="82"/>
      <c r="D18" s="82"/>
    </row>
    <row r="19" spans="2:13" x14ac:dyDescent="0.3">
      <c r="C19" s="83" t="s">
        <v>82</v>
      </c>
      <c r="D19" s="84" t="s">
        <v>83</v>
      </c>
    </row>
    <row r="20" spans="2:13" x14ac:dyDescent="0.3">
      <c r="B20" t="str">
        <f>B3</f>
        <v>AYA switching to LA-ART (40% to 100%)</v>
      </c>
      <c r="C20" s="110">
        <f>CEA!W97</f>
        <v>235.44730563671666</v>
      </c>
      <c r="D20" s="110">
        <f>CEA!W83</f>
        <v>237.03668656049635</v>
      </c>
      <c r="M20" s="95">
        <f>D20-C20</f>
        <v>1.5893809237796859</v>
      </c>
    </row>
    <row r="21" spans="2:13" x14ac:dyDescent="0.3">
      <c r="B21" t="str">
        <f t="shared" ref="B21:B27" si="2">B4</f>
        <v>Oral ART drug cost ($60 to $90)</v>
      </c>
      <c r="C21" s="109">
        <f>'Sens $60 Oral'!W27</f>
        <v>235.18379851815052</v>
      </c>
      <c r="D21" s="110">
        <f>'Sens $90 Oral'!W27</f>
        <v>236.92021911538373</v>
      </c>
      <c r="M21" s="95">
        <f t="shared" ref="M21:M25" si="3">D21-C21</f>
        <v>1.7364205972332059</v>
      </c>
    </row>
    <row r="22" spans="2:13" x14ac:dyDescent="0.3">
      <c r="B22" t="str">
        <f t="shared" si="2"/>
        <v>2029 ART coverage (75% to 90%)</v>
      </c>
      <c r="C22" s="80">
        <f>'Sens ART High'!W27</f>
        <v>231.91538613993941</v>
      </c>
      <c r="D22" s="80">
        <f>'Sens ART Low'!W27</f>
        <v>237.95711787723167</v>
      </c>
      <c r="M22" s="95">
        <f t="shared" si="3"/>
        <v>6.0417317372922525</v>
      </c>
    </row>
    <row r="23" spans="2:13" x14ac:dyDescent="0.3">
      <c r="B23" t="str">
        <f t="shared" si="2"/>
        <v>Number of AYA partners (20% lower to 20% higher)</v>
      </c>
      <c r="C23" s="112">
        <f>'Sens partners low'!W27</f>
        <v>233.43478958400098</v>
      </c>
      <c r="D23" s="80">
        <f>'Sens partners high'!W27</f>
        <v>240.6724260072495</v>
      </c>
      <c r="M23" s="95">
        <f t="shared" si="3"/>
        <v>7.2376364232485173</v>
      </c>
    </row>
    <row r="24" spans="2:13" x14ac:dyDescent="0.3">
      <c r="B24" t="str">
        <f t="shared" si="2"/>
        <v>Population oral ART nonadherence after 2019 (20% lower to 20% higher)</v>
      </c>
      <c r="C24" s="112">
        <f>'Sens pop dropout low'!W27</f>
        <v>172.68468328413229</v>
      </c>
      <c r="D24" s="112">
        <f>'Sens pop dropout high'!W27</f>
        <v>300.17342734448948</v>
      </c>
      <c r="M24" s="95">
        <f>D24-C24</f>
        <v>127.48874406035719</v>
      </c>
    </row>
    <row r="25" spans="2:13" x14ac:dyDescent="0.3">
      <c r="B25" t="str">
        <f t="shared" si="2"/>
        <v>AYA oral ART nonadherence (20% lower to 20% higher)</v>
      </c>
      <c r="C25" s="80">
        <f>'Sens AYA dropout low'!W27</f>
        <v>172.53332666536454</v>
      </c>
      <c r="D25" s="80">
        <f>'Sens AYA dropout high'!W27</f>
        <v>300.51884715264652</v>
      </c>
      <c r="M25" s="95">
        <f t="shared" si="3"/>
        <v>127.98552048728197</v>
      </c>
    </row>
    <row r="26" spans="2:13" x14ac:dyDescent="0.3">
      <c r="B26" t="str">
        <f t="shared" si="2"/>
        <v>LAART viral suppression (85% to 100%)</v>
      </c>
      <c r="C26" s="80">
        <f>CEA!W41</f>
        <v>122.99824883834236</v>
      </c>
      <c r="D26" s="80">
        <f>CEA!W55</f>
        <v>310.31201603041666</v>
      </c>
      <c r="M26" s="95">
        <f>D27-C27</f>
        <v>460.56418227813754</v>
      </c>
    </row>
    <row r="27" spans="2:13" x14ac:dyDescent="0.3">
      <c r="B27" t="str">
        <f t="shared" si="2"/>
        <v>20-year time horizon</v>
      </c>
      <c r="C27" s="80"/>
      <c r="D27" s="118">
        <f>'Sens 20 year'!W47</f>
        <v>460.56418227813754</v>
      </c>
    </row>
    <row r="29" spans="2:13" x14ac:dyDescent="0.3">
      <c r="D29" s="80"/>
      <c r="M29" s="1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1"/>
  <sheetViews>
    <sheetView workbookViewId="0">
      <selection activeCell="B15" sqref="B15"/>
    </sheetView>
  </sheetViews>
  <sheetFormatPr defaultColWidth="9.109375" defaultRowHeight="13.2" x14ac:dyDescent="0.25"/>
  <cols>
    <col min="1" max="1" width="2" style="1" customWidth="1"/>
    <col min="2" max="2" width="59.5546875" style="1" customWidth="1"/>
    <col min="3" max="5" width="21.88671875" style="1" customWidth="1"/>
    <col min="6" max="6" width="9.109375" style="1"/>
    <col min="7" max="8" width="10.33203125" style="1" bestFit="1" customWidth="1"/>
    <col min="9" max="16384" width="9.109375" style="1"/>
  </cols>
  <sheetData>
    <row r="2" spans="2:6" x14ac:dyDescent="0.25">
      <c r="C2" s="3" t="s">
        <v>86</v>
      </c>
      <c r="D2" s="3" t="s">
        <v>90</v>
      </c>
      <c r="E2" s="2" t="s">
        <v>87</v>
      </c>
      <c r="F2" s="96" t="s">
        <v>88</v>
      </c>
    </row>
    <row r="3" spans="2:6" x14ac:dyDescent="0.25">
      <c r="B3" s="3" t="s">
        <v>91</v>
      </c>
    </row>
    <row r="4" spans="2:6" x14ac:dyDescent="0.25">
      <c r="B4" s="1" t="s">
        <v>7</v>
      </c>
      <c r="C4" s="4"/>
      <c r="D4" s="6"/>
      <c r="E4" s="6"/>
      <c r="F4" s="106">
        <v>72</v>
      </c>
    </row>
    <row r="5" spans="2:6" x14ac:dyDescent="0.25">
      <c r="B5" s="1" t="s">
        <v>8</v>
      </c>
      <c r="C5" s="4">
        <v>120.72</v>
      </c>
      <c r="D5" s="6">
        <f>C5*$C$16</f>
        <v>10721.263920000001</v>
      </c>
      <c r="E5" s="6">
        <f>D5*$C$14</f>
        <v>16285.352599543457</v>
      </c>
      <c r="F5" s="5">
        <f>E5/$C$17</f>
        <v>160.64624656759582</v>
      </c>
    </row>
    <row r="6" spans="2:6" x14ac:dyDescent="0.25">
      <c r="C6" s="4"/>
      <c r="D6" s="6"/>
      <c r="E6" s="6"/>
    </row>
    <row r="7" spans="2:6" x14ac:dyDescent="0.25">
      <c r="B7" s="3" t="s">
        <v>92</v>
      </c>
      <c r="C7" s="4">
        <v>116.71</v>
      </c>
      <c r="D7" s="6">
        <f>C7*$C$16</f>
        <v>10365.131810000001</v>
      </c>
      <c r="E7" s="6">
        <f>D7*$C$14</f>
        <v>15744.396138939006</v>
      </c>
      <c r="F7" s="5">
        <f>E7/$C$17</f>
        <v>155.31000196242633</v>
      </c>
    </row>
    <row r="9" spans="2:6" ht="14.4" x14ac:dyDescent="0.3">
      <c r="C9" s="86" t="s">
        <v>85</v>
      </c>
      <c r="F9" s="107" t="s">
        <v>102</v>
      </c>
    </row>
    <row r="10" spans="2:6" x14ac:dyDescent="0.25">
      <c r="C10" s="4"/>
      <c r="D10" s="5"/>
      <c r="E10" s="5"/>
    </row>
    <row r="11" spans="2:6" x14ac:dyDescent="0.25">
      <c r="E11" s="39"/>
    </row>
    <row r="12" spans="2:6" x14ac:dyDescent="0.25">
      <c r="C12" s="87">
        <v>113.111</v>
      </c>
      <c r="D12" s="1" t="s">
        <v>135</v>
      </c>
      <c r="E12" s="39" t="s">
        <v>22</v>
      </c>
    </row>
    <row r="13" spans="2:6" x14ac:dyDescent="0.25">
      <c r="C13" s="87">
        <v>171.81299999999999</v>
      </c>
      <c r="D13" s="1" t="s">
        <v>32</v>
      </c>
      <c r="E13" s="39" t="s">
        <v>22</v>
      </c>
    </row>
    <row r="14" spans="2:6" x14ac:dyDescent="0.25">
      <c r="C14" s="88">
        <f>C13/C12</f>
        <v>1.5189769341620176</v>
      </c>
      <c r="D14" s="1" t="s">
        <v>23</v>
      </c>
      <c r="E14" s="39"/>
    </row>
    <row r="15" spans="2:6" x14ac:dyDescent="0.25">
      <c r="C15" s="89"/>
      <c r="E15" s="39"/>
    </row>
    <row r="16" spans="2:6" x14ac:dyDescent="0.25">
      <c r="C16" s="90">
        <v>88.811000000000007</v>
      </c>
      <c r="D16" s="1" t="s">
        <v>89</v>
      </c>
      <c r="E16" s="39" t="s">
        <v>24</v>
      </c>
    </row>
    <row r="17" spans="3:5" x14ac:dyDescent="0.25">
      <c r="C17" s="90">
        <v>101.374</v>
      </c>
      <c r="D17" s="1" t="s">
        <v>33</v>
      </c>
      <c r="E17" s="39" t="s">
        <v>24</v>
      </c>
    </row>
    <row r="19" spans="3:5" x14ac:dyDescent="0.25">
      <c r="C19" s="5"/>
      <c r="D19" s="5"/>
      <c r="E19" s="5"/>
    </row>
    <row r="20" spans="3:5" x14ac:dyDescent="0.25">
      <c r="C20" s="5"/>
      <c r="D20" s="5"/>
      <c r="E20" s="5"/>
    </row>
    <row r="21" spans="3:5" x14ac:dyDescent="0.25">
      <c r="C21" s="5"/>
      <c r="D21" s="5"/>
      <c r="E21" s="5"/>
    </row>
  </sheetData>
  <hyperlinks>
    <hyperlink ref="F9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7"/>
  <sheetViews>
    <sheetView tabSelected="1" zoomScale="90" zoomScaleNormal="90" workbookViewId="0">
      <pane xSplit="1" ySplit="13" topLeftCell="B14" activePane="bottomRight" state="frozen"/>
      <selection activeCell="U27" sqref="U27"/>
      <selection pane="topRight" activeCell="U27" sqref="U27"/>
      <selection pane="bottomLeft" activeCell="U27" sqref="U27"/>
      <selection pane="bottomRight" activeCell="E28" sqref="E28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57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218114.62115144657</v>
      </c>
      <c r="C3" s="16">
        <v>56542.642046445631</v>
      </c>
      <c r="D3" s="16">
        <v>91846.067581379073</v>
      </c>
      <c r="E3" s="16">
        <v>177854.0596646395</v>
      </c>
      <c r="F3" s="16">
        <v>1132939.8345262448</v>
      </c>
      <c r="G3" s="16">
        <v>0</v>
      </c>
      <c r="H3" s="16">
        <v>150484.45060744535</v>
      </c>
      <c r="I3" s="16">
        <v>81695.831558831705</v>
      </c>
      <c r="J3" s="16">
        <v>51939.758986082008</v>
      </c>
      <c r="K3" s="17">
        <f>SUM(B$3:B3)</f>
        <v>218114.62115144657</v>
      </c>
      <c r="L3" s="17">
        <f>SUM(E3,K3)</f>
        <v>395968.68081608607</v>
      </c>
      <c r="M3" s="17">
        <f t="shared" ref="M3:M12" si="0">L3/($Q$9^(A3-$A$3+1))</f>
        <v>384435.612442802</v>
      </c>
      <c r="N3" s="17">
        <f>(F3*SUM(Costs!$F$4,Costs!$F$5)+H3*Costs!$F$7+I3*Costs!$F$7+J3*Costs!$F$7) /($Q$9^(A3-$A$3+1))</f>
        <v>298738722.56153536</v>
      </c>
      <c r="O3" s="17">
        <f>(F3*SUM(Costs!$F$4,Costs!$F$5)+H3*Costs!$F$7+I3*Costs!$F$7+J3*Costs!$F$7) /($Q$9^(A3-$A$3+1))</f>
        <v>298738722.56153536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220317.09225418209</v>
      </c>
      <c r="C4" s="16">
        <v>55708.276381712458</v>
      </c>
      <c r="D4" s="16">
        <v>91027.41245348833</v>
      </c>
      <c r="E4" s="16">
        <v>177215.89273240409</v>
      </c>
      <c r="F4" s="16">
        <v>1152389.8551338962</v>
      </c>
      <c r="G4" s="16">
        <v>0</v>
      </c>
      <c r="H4" s="16">
        <v>150019.83200070143</v>
      </c>
      <c r="I4" s="16">
        <v>79649.441703114731</v>
      </c>
      <c r="J4" s="16">
        <v>49901.525221205258</v>
      </c>
      <c r="K4" s="17">
        <f>SUM(B$3:B4)</f>
        <v>438431.71340562869</v>
      </c>
      <c r="L4" s="17">
        <f t="shared" ref="L4:L12" si="1">SUM(E4,K4)</f>
        <v>615647.60613803274</v>
      </c>
      <c r="M4" s="17">
        <f t="shared" si="0"/>
        <v>580306.91501369851</v>
      </c>
      <c r="N4" s="17">
        <f>(F4*SUM(Costs!$F$4,Costs!$F$5)+H4*Costs!$F$7+I4*Costs!$F$7+J4*Costs!$F$7) /($Q$9^(A4-$A$3+1))</f>
        <v>293636832.60359949</v>
      </c>
      <c r="O4" s="17">
        <f>(F4*SUM(Costs!$F$4,Costs!$F$5)+H4*Costs!$F$7+I4*Costs!$F$7+J4*Costs!$F$7) /($Q$9^(A4-$A$3+1))</f>
        <v>293636832.60359949</v>
      </c>
    </row>
    <row r="5" spans="1:27" x14ac:dyDescent="0.25">
      <c r="A5" s="14">
        <v>2021</v>
      </c>
      <c r="B5" s="15">
        <v>223342.50716537485</v>
      </c>
      <c r="C5" s="16">
        <v>55594.046287075711</v>
      </c>
      <c r="D5" s="16">
        <v>91208.630143140006</v>
      </c>
      <c r="E5" s="16">
        <v>177380.57368728821</v>
      </c>
      <c r="F5" s="16">
        <v>1163733.1216018123</v>
      </c>
      <c r="G5" s="16">
        <v>0</v>
      </c>
      <c r="H5" s="16">
        <v>153342.09627825962</v>
      </c>
      <c r="I5" s="16">
        <v>79677.878871801324</v>
      </c>
      <c r="J5" s="16">
        <v>49071.231953095747</v>
      </c>
      <c r="K5" s="17">
        <f>SUM(B$3:B5)</f>
        <v>661774.22057100351</v>
      </c>
      <c r="L5" s="17">
        <f t="shared" si="1"/>
        <v>839154.79425829172</v>
      </c>
      <c r="M5" s="17">
        <f t="shared" si="0"/>
        <v>767945.51087169233</v>
      </c>
      <c r="N5" s="17">
        <f>(F5*SUM(Costs!$F$4,Costs!$F$5)+H5*Costs!$F$7+I5*Costs!$F$7+J5*Costs!$F$7) /($Q$9^(A5-$A$3+1))</f>
        <v>287857560.64948314</v>
      </c>
      <c r="O5" s="17">
        <f>(F5*SUM(Costs!$F$4,Costs!$F$5)+H5*Costs!$F$7+I5*Costs!$F$7+J5*Costs!$F$7) /($Q$9^(A5-$A$3+1))</f>
        <v>287857560.64948314</v>
      </c>
      <c r="Q5" s="13" t="s">
        <v>21</v>
      </c>
    </row>
    <row r="6" spans="1:27" x14ac:dyDescent="0.25">
      <c r="A6" s="14">
        <v>2022</v>
      </c>
      <c r="B6" s="15">
        <v>226101.89678964461</v>
      </c>
      <c r="C6" s="16">
        <v>55127.435388445221</v>
      </c>
      <c r="D6" s="16">
        <v>90973.393793450727</v>
      </c>
      <c r="E6" s="16">
        <v>177104.99244696501</v>
      </c>
      <c r="F6" s="16">
        <v>1177981.6053383306</v>
      </c>
      <c r="G6" s="16">
        <v>0</v>
      </c>
      <c r="H6" s="16">
        <v>154336.76651750723</v>
      </c>
      <c r="I6" s="16">
        <v>78770.817294649256</v>
      </c>
      <c r="J6" s="16">
        <v>47664.738416981781</v>
      </c>
      <c r="K6" s="17">
        <f>SUM(B$3:B6)</f>
        <v>887876.11736064812</v>
      </c>
      <c r="L6" s="17">
        <f t="shared" si="1"/>
        <v>1064981.1098076131</v>
      </c>
      <c r="M6" s="17">
        <f t="shared" si="0"/>
        <v>946221.92233894032</v>
      </c>
      <c r="N6" s="17">
        <f>(F6*SUM(Costs!$F$4,Costs!$F$5)+H6*Costs!$F$7+I6*Costs!$F$7+J6*Costs!$F$7) /($Q$9^(A6-$A$3+1))</f>
        <v>282236572.56315577</v>
      </c>
      <c r="O6" s="17">
        <f>(F6*SUM(Costs!$F$4,Costs!$F$5)+H6*Costs!$F$7+I6*Costs!$F$7+J6*Costs!$F$7) /($Q$9^(A6-$A$3+1))</f>
        <v>282236572.56315577</v>
      </c>
      <c r="Q6" s="38">
        <v>500</v>
      </c>
    </row>
    <row r="7" spans="1:27" x14ac:dyDescent="0.25">
      <c r="A7" s="14">
        <v>2023</v>
      </c>
      <c r="B7" s="15">
        <v>228940.1977397968</v>
      </c>
      <c r="C7" s="16">
        <v>54664.138457744695</v>
      </c>
      <c r="D7" s="16">
        <v>90777.990858695062</v>
      </c>
      <c r="E7" s="16">
        <v>176800.26361385809</v>
      </c>
      <c r="F7" s="16">
        <v>1191414.2592411852</v>
      </c>
      <c r="G7" s="16">
        <v>0</v>
      </c>
      <c r="H7" s="16">
        <v>155057.73777737663</v>
      </c>
      <c r="I7" s="16">
        <v>77920.464294174439</v>
      </c>
      <c r="J7" s="16">
        <v>46279.141790101392</v>
      </c>
      <c r="K7" s="17">
        <f>SUM(B$3:B7)</f>
        <v>1116816.3151004449</v>
      </c>
      <c r="L7" s="17">
        <f t="shared" si="1"/>
        <v>1293616.578714303</v>
      </c>
      <c r="M7" s="17">
        <f t="shared" si="0"/>
        <v>1115885.0244239462</v>
      </c>
      <c r="N7" s="17">
        <f>(F7*SUM(Costs!$F$4,Costs!$F$5)+H7*Costs!$F$7+I7*Costs!$F$7+J7*Costs!$F$7) /($Q$9^(A7-$A$3+1))</f>
        <v>276508826.72961152</v>
      </c>
      <c r="O7" s="17">
        <f>(F7*SUM(Costs!$F$4,Costs!$F$5)+H7*Costs!$F$7+I7*Costs!$F$7+J7*Costs!$F$7) /($Q$9^(A7-$A$3+1))</f>
        <v>276508826.72961152</v>
      </c>
      <c r="R7" s="20"/>
    </row>
    <row r="8" spans="1:27" x14ac:dyDescent="0.25">
      <c r="A8" s="14">
        <v>2024</v>
      </c>
      <c r="B8" s="15">
        <v>231849.5028095195</v>
      </c>
      <c r="C8" s="16">
        <v>54206.919958680854</v>
      </c>
      <c r="D8" s="16">
        <v>90634.889906969649</v>
      </c>
      <c r="E8" s="16">
        <v>176484.00600356632</v>
      </c>
      <c r="F8" s="16">
        <v>1204151.6545681774</v>
      </c>
      <c r="G8" s="16">
        <v>0</v>
      </c>
      <c r="H8" s="16">
        <v>155503.8826106849</v>
      </c>
      <c r="I8" s="16">
        <v>77126.817145146197</v>
      </c>
      <c r="J8" s="16">
        <v>44927.630245613298</v>
      </c>
      <c r="K8" s="17">
        <f>SUM(B$3:B8)</f>
        <v>1348665.8179099644</v>
      </c>
      <c r="L8" s="17">
        <f t="shared" si="1"/>
        <v>1525149.8239135307</v>
      </c>
      <c r="M8" s="17">
        <f t="shared" si="0"/>
        <v>1277288.9666114296</v>
      </c>
      <c r="N8" s="17">
        <f>(F8*SUM(Costs!$F$4,Costs!$F$5)+H8*Costs!$F$7+I8*Costs!$F$7+J8*Costs!$F$7) /($Q$9^(A8-$A$3+1))</f>
        <v>270715904.52973765</v>
      </c>
      <c r="O8" s="17">
        <f>(F8*SUM(Costs!$F$4,Costs!$F$5)+H8*Costs!$F$7+I8*Costs!$F$7+J8*Costs!$F$7) /($Q$9^(A8-$A$3+1))</f>
        <v>270715904.52973765</v>
      </c>
      <c r="Q8" s="13" t="s">
        <v>6</v>
      </c>
    </row>
    <row r="9" spans="1:27" x14ac:dyDescent="0.25">
      <c r="A9" s="14">
        <v>2025</v>
      </c>
      <c r="B9" s="15">
        <v>234458.75232042337</v>
      </c>
      <c r="C9" s="16">
        <v>53390.380649154191</v>
      </c>
      <c r="D9" s="16">
        <v>90028.446553243077</v>
      </c>
      <c r="E9" s="16">
        <v>175744.73457793865</v>
      </c>
      <c r="F9" s="16">
        <v>1219921.6489712985</v>
      </c>
      <c r="G9" s="16">
        <v>0</v>
      </c>
      <c r="H9" s="16">
        <v>153437.86536125076</v>
      </c>
      <c r="I9" s="16">
        <v>75364.80343090526</v>
      </c>
      <c r="J9" s="16">
        <v>43066.836076813743</v>
      </c>
      <c r="K9" s="17">
        <f>SUM(B$3:B9)</f>
        <v>1583124.5702303876</v>
      </c>
      <c r="L9" s="17">
        <f t="shared" si="1"/>
        <v>1758869.3048083263</v>
      </c>
      <c r="M9" s="17">
        <f t="shared" si="0"/>
        <v>1430121.7013020359</v>
      </c>
      <c r="N9" s="17">
        <f>(F9*SUM(Costs!$F$4,Costs!$F$5)+H9*Costs!$F$7+I9*Costs!$F$7+J9*Costs!$F$7) /($Q$9^(A9-$A$3+1))</f>
        <v>265095677.89036411</v>
      </c>
      <c r="O9" s="17">
        <f>(F9*SUM(Costs!$F$4,Costs!$F$5)+H9*Costs!$F$7+I9*Costs!$F$7+J9*Costs!$F$7) /($Q$9^(A9-$A$3+1))</f>
        <v>265095677.89036411</v>
      </c>
      <c r="Q9" s="19">
        <v>1.03</v>
      </c>
    </row>
    <row r="10" spans="1:27" x14ac:dyDescent="0.25">
      <c r="A10" s="14">
        <v>2026</v>
      </c>
      <c r="B10" s="15">
        <v>237486.59483457252</v>
      </c>
      <c r="C10" s="16">
        <v>52938.357125978837</v>
      </c>
      <c r="D10" s="16">
        <v>89933.450261802282</v>
      </c>
      <c r="E10" s="16">
        <v>175382.11433070307</v>
      </c>
      <c r="F10" s="16">
        <v>1231160.7045587671</v>
      </c>
      <c r="G10" s="16">
        <v>0</v>
      </c>
      <c r="H10" s="16">
        <v>153349.44056090072</v>
      </c>
      <c r="I10" s="16">
        <v>74631.923071045239</v>
      </c>
      <c r="J10" s="16">
        <v>41792.503707526848</v>
      </c>
      <c r="K10" s="17">
        <f>SUM(B$3:B10)</f>
        <v>1820611.1650649603</v>
      </c>
      <c r="L10" s="17">
        <f t="shared" si="1"/>
        <v>1995993.2793956634</v>
      </c>
      <c r="M10" s="17">
        <f t="shared" si="0"/>
        <v>1575655.5263834924</v>
      </c>
      <c r="N10" s="17">
        <f>(F10*SUM(Costs!$F$4,Costs!$F$5)+H10*Costs!$F$7+I10*Costs!$F$7+J10*Costs!$F$7) /($Q$9^(A10-$A$3+1))</f>
        <v>259181600.13960406</v>
      </c>
      <c r="O10" s="17">
        <f>(F10*SUM(Costs!$F$4,Costs!$F$5)+H10*Costs!$F$7+I10*Costs!$F$7+J10*Costs!$F$7) /($Q$9^(A10-$A$3+1))</f>
        <v>259181600.13960406</v>
      </c>
    </row>
    <row r="11" spans="1:27" x14ac:dyDescent="0.25">
      <c r="A11" s="14">
        <v>2027</v>
      </c>
      <c r="B11" s="15">
        <v>240934.32373770201</v>
      </c>
      <c r="C11" s="16">
        <v>52858.20926339693</v>
      </c>
      <c r="D11" s="16">
        <v>90387.245400169661</v>
      </c>
      <c r="E11" s="16">
        <v>175409.39726889067</v>
      </c>
      <c r="F11" s="16">
        <v>1237978.9296293058</v>
      </c>
      <c r="G11" s="16">
        <v>0</v>
      </c>
      <c r="H11" s="16">
        <v>155362.60743119149</v>
      </c>
      <c r="I11" s="16">
        <v>74940.394009866475</v>
      </c>
      <c r="J11" s="16">
        <v>41081.694535894581</v>
      </c>
      <c r="K11" s="17">
        <f>SUM(B$3:B11)</f>
        <v>2061545.4888026624</v>
      </c>
      <c r="L11" s="17">
        <f t="shared" si="1"/>
        <v>2236954.886071553</v>
      </c>
      <c r="M11" s="17">
        <f t="shared" si="0"/>
        <v>1714439.6541830699</v>
      </c>
      <c r="N11" s="17">
        <f>(F11*SUM(Costs!$F$4,Costs!$F$5)+H11*Costs!$F$7+I11*Costs!$F$7+J11*Costs!$F$7) /($Q$9^(A11-$A$3+1))</f>
        <v>253040078.58578798</v>
      </c>
      <c r="O11" s="17">
        <f>(F11*SUM(Costs!$F$4,Costs!$F$5)+H11*Costs!$F$7+I11*Costs!$F$7+J11*Costs!$F$7) /($Q$9^(A11-$A$3+1))</f>
        <v>253040078.58578798</v>
      </c>
    </row>
    <row r="12" spans="1:27" s="27" customFormat="1" x14ac:dyDescent="0.25">
      <c r="A12" s="23">
        <v>2028</v>
      </c>
      <c r="B12" s="24">
        <v>244072.82865022848</v>
      </c>
      <c r="C12" s="25">
        <v>52423.581116347079</v>
      </c>
      <c r="D12" s="25">
        <v>90397.019327880786</v>
      </c>
      <c r="E12" s="25">
        <v>175044.30528857739</v>
      </c>
      <c r="F12" s="25">
        <v>1248113.3527128876</v>
      </c>
      <c r="G12" s="25">
        <v>0</v>
      </c>
      <c r="H12" s="25">
        <v>154899.96606274394</v>
      </c>
      <c r="I12" s="25">
        <v>74260.890586984635</v>
      </c>
      <c r="J12" s="25">
        <v>39884.740599475852</v>
      </c>
      <c r="K12" s="26">
        <f>SUM(B$3:B12)</f>
        <v>2305618.3174528908</v>
      </c>
      <c r="L12" s="26">
        <f t="shared" si="1"/>
        <v>2480662.6227414683</v>
      </c>
      <c r="M12" s="26">
        <f t="shared" si="0"/>
        <v>1845845.9624936772</v>
      </c>
      <c r="N12" s="26">
        <f>(F12*SUM(Costs!$F$4,Costs!$F$5)+H12*Costs!$F$7+I12*Costs!$F$7+J12*Costs!$F$7) /($Q$9^(A12-$A$3+1))</f>
        <v>247154037.3653383</v>
      </c>
      <c r="O12" s="26">
        <f>(F12*SUM(Costs!$F$4,Costs!$F$5)+H12*Costs!$F$7+I12*Costs!$F$7+J12*Costs!$F$7) /($Q$9^(A12-$A$3+1))</f>
        <v>247154037.3653383</v>
      </c>
      <c r="V12" s="28"/>
    </row>
    <row r="13" spans="1:27" x14ac:dyDescent="0.25">
      <c r="A13" s="12" t="s">
        <v>0</v>
      </c>
      <c r="B13" s="6">
        <f>SUM(B3:B12)</f>
        <v>2305618.3174528908</v>
      </c>
      <c r="C13" s="6">
        <f>SUM(C3:C12)</f>
        <v>543453.98667498166</v>
      </c>
      <c r="D13" s="6">
        <f t="shared" ref="D13:O13" si="2">SUM(D3:D12)</f>
        <v>907214.54628021864</v>
      </c>
      <c r="E13" s="6">
        <f t="shared" si="2"/>
        <v>1764420.3396148311</v>
      </c>
      <c r="F13" s="6">
        <f t="shared" si="2"/>
        <v>11959784.966281906</v>
      </c>
      <c r="G13" s="6">
        <f t="shared" si="2"/>
        <v>0</v>
      </c>
      <c r="H13" s="6">
        <f t="shared" si="2"/>
        <v>1535794.6452080619</v>
      </c>
      <c r="I13" s="6">
        <f t="shared" si="2"/>
        <v>774039.26196651929</v>
      </c>
      <c r="J13" s="6">
        <f t="shared" si="2"/>
        <v>455609.80153279047</v>
      </c>
      <c r="K13" s="6">
        <f t="shared" si="2"/>
        <v>12442578.347050037</v>
      </c>
      <c r="L13" s="6">
        <f t="shared" si="2"/>
        <v>14206998.686664868</v>
      </c>
      <c r="M13" s="6">
        <f t="shared" si="2"/>
        <v>11638146.796064783</v>
      </c>
      <c r="N13" s="6">
        <f t="shared" si="2"/>
        <v>2734165813.618217</v>
      </c>
      <c r="O13" s="6">
        <f t="shared" si="2"/>
        <v>2734165813.618217</v>
      </c>
      <c r="V13" s="18"/>
    </row>
    <row r="15" spans="1:27" ht="15" x14ac:dyDescent="0.4">
      <c r="B15" s="7" t="s">
        <v>20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33" x14ac:dyDescent="0.25">
      <c r="A17" s="14">
        <v>2019</v>
      </c>
      <c r="B17" s="15">
        <v>215837.70973890933</v>
      </c>
      <c r="C17" s="16">
        <v>54263.919750704823</v>
      </c>
      <c r="D17" s="16">
        <v>88409.30081585687</v>
      </c>
      <c r="E17" s="16">
        <v>174851.7298649541</v>
      </c>
      <c r="F17" s="16">
        <v>1021877.6108288184</v>
      </c>
      <c r="G17" s="16">
        <v>110714.96606853355</v>
      </c>
      <c r="H17" s="16">
        <v>150312.73742326093</v>
      </c>
      <c r="I17" s="16">
        <v>81686.250472136278</v>
      </c>
      <c r="J17" s="16">
        <v>51936.382090567</v>
      </c>
      <c r="K17" s="17">
        <f>SUM(B17:B17)</f>
        <v>215837.70973890933</v>
      </c>
      <c r="L17" s="17">
        <f>SUM(E17,K17)</f>
        <v>390689.4396038634</v>
      </c>
      <c r="M17" s="17">
        <f t="shared" ref="M17:M26" si="3">L17/($Q$9^(A17-$A$3+1))</f>
        <v>379310.13553773146</v>
      </c>
      <c r="N17" s="17">
        <f>(F17*SUM(Costs!$F$4,Costs!$F$5)+G17*SUM(Costs!$F$4,Costs!$F$5,$W26)+H17*Costs!$F$7+I17*Costs!$F$7+J17*Costs!$F$7) /($Q$9^(A17-$A$3+1))</f>
        <v>308221671.87593365</v>
      </c>
      <c r="O17" s="17">
        <f>(F17*SUM(Costs!$F$4,Costs!$F$5)+G17*SUM(Costs!$F$4,Costs!$F$5,$W27)+H17*Costs!$F$7+I17*Costs!$F$7+J17*Costs!$F$7) /($Q$9^(A17-$A$3+1))</f>
        <v>323987068.1039024</v>
      </c>
      <c r="Q17" s="32">
        <f>M$3-M17</f>
        <v>5125.4769050705363</v>
      </c>
      <c r="R17" s="27">
        <f>B$3-B17</f>
        <v>2276.9114125372435</v>
      </c>
      <c r="S17" s="27">
        <f>D$3-D17</f>
        <v>3436.7667655222031</v>
      </c>
      <c r="T17" s="27"/>
      <c r="U17" s="33"/>
    </row>
    <row r="18" spans="1:33" x14ac:dyDescent="0.25">
      <c r="A18" s="14">
        <v>2020</v>
      </c>
      <c r="B18" s="15">
        <v>218099.20714175311</v>
      </c>
      <c r="C18" s="16">
        <v>53483.87496210471</v>
      </c>
      <c r="D18" s="16">
        <v>87493.645480449253</v>
      </c>
      <c r="E18" s="16">
        <v>174232.32581825106</v>
      </c>
      <c r="F18" s="16">
        <v>1043038.9056927674</v>
      </c>
      <c r="G18" s="16">
        <v>108153.72710768765</v>
      </c>
      <c r="H18" s="16">
        <v>149505.64076353738</v>
      </c>
      <c r="I18" s="16">
        <v>79610.17354764622</v>
      </c>
      <c r="J18" s="16">
        <v>49890.420022359816</v>
      </c>
      <c r="K18" s="17">
        <f>SUM(B17:B18)</f>
        <v>433936.91688066244</v>
      </c>
      <c r="L18" s="17">
        <f t="shared" ref="L18:L26" si="4">SUM(E18,K18)</f>
        <v>608169.24269891344</v>
      </c>
      <c r="M18" s="17">
        <f t="shared" si="3"/>
        <v>573257.84022896923</v>
      </c>
      <c r="N18" s="17">
        <f>(F18*SUM(Costs!$F$4,Costs!$F$5)+G18*SUM(Costs!$F$4,Costs!$F$5,$W26)+H18*Costs!$F$7+I18*Costs!$F$7+J18*Costs!$F$7) /($Q$9^(A18-$A$3+1))</f>
        <v>302386202.70244813</v>
      </c>
      <c r="O18" s="17">
        <f>(F18*SUM(Costs!$F$4,Costs!$F$5)+G18*SUM(Costs!$F$4,Costs!$F$5,$W27)+H18*Costs!$F$7+I18*Costs!$F$7+J18*Costs!$F$7) /($Q$9^(A18-$A$3+1))</f>
        <v>317338324.4490664</v>
      </c>
      <c r="Q18" s="32">
        <f>M$4-M18</f>
        <v>7049.0747847292805</v>
      </c>
      <c r="R18" s="27">
        <f>B$4-B18</f>
        <v>2217.8851124289795</v>
      </c>
      <c r="S18" s="27">
        <f>D$4-D18</f>
        <v>3533.7669730390771</v>
      </c>
      <c r="T18" s="27"/>
      <c r="U18" s="33"/>
    </row>
    <row r="19" spans="1:33" x14ac:dyDescent="0.25">
      <c r="A19" s="14">
        <v>2021</v>
      </c>
      <c r="B19" s="15">
        <v>221194.95778092701</v>
      </c>
      <c r="C19" s="16">
        <v>53434.073046950529</v>
      </c>
      <c r="D19" s="16">
        <v>87596.482930411337</v>
      </c>
      <c r="E19" s="16">
        <v>174410.14352470348</v>
      </c>
      <c r="F19" s="16">
        <v>1056714.6975709905</v>
      </c>
      <c r="G19" s="16">
        <v>104840.38064739123</v>
      </c>
      <c r="H19" s="16">
        <v>152509.29289851958</v>
      </c>
      <c r="I19" s="16">
        <v>79586.774800875486</v>
      </c>
      <c r="J19" s="16">
        <v>49049.788593133591</v>
      </c>
      <c r="K19" s="17">
        <f>SUM(B17:B19)</f>
        <v>655131.87466158951</v>
      </c>
      <c r="L19" s="17">
        <f t="shared" si="4"/>
        <v>829542.01818629296</v>
      </c>
      <c r="M19" s="17">
        <f t="shared" si="3"/>
        <v>759148.45902617299</v>
      </c>
      <c r="N19" s="17">
        <f>(F19*SUM(Costs!$F$4,Costs!$F$5)+G19*SUM(Costs!$F$4,Costs!$F$5,$W26)+H19*Costs!$F$7+I19*Costs!$F$7+J19*Costs!$F$7) /($Q$9^(A19-$A$3+1))</f>
        <v>295818650.75129819</v>
      </c>
      <c r="O19" s="17">
        <f>(F19*SUM(Costs!$F$4,Costs!$F$5)+G19*SUM(Costs!$F$4,Costs!$F$5,$W27)+H19*Costs!$F$7+I19*Costs!$F$7+J19*Costs!$F$7) /($Q$9^(A19-$A$3+1))</f>
        <v>309890549.40424335</v>
      </c>
      <c r="Q19" s="32">
        <f>M$5-M19</f>
        <v>8797.0518455193378</v>
      </c>
      <c r="R19" s="27">
        <f>B$5-B19</f>
        <v>2147.5493844478333</v>
      </c>
      <c r="S19" s="27">
        <f>D$5-D19</f>
        <v>3612.1472127286688</v>
      </c>
      <c r="T19" s="27"/>
      <c r="U19" s="33"/>
    </row>
    <row r="20" spans="1:33" x14ac:dyDescent="0.25">
      <c r="A20" s="14">
        <v>2022</v>
      </c>
      <c r="B20" s="15">
        <v>224014.64920125573</v>
      </c>
      <c r="C20" s="16">
        <v>53020.860515885382</v>
      </c>
      <c r="D20" s="16">
        <v>87238.384417042253</v>
      </c>
      <c r="E20" s="16">
        <v>174112.26321014826</v>
      </c>
      <c r="F20" s="16">
        <v>1072818.5878960029</v>
      </c>
      <c r="G20" s="16">
        <v>101854.22532752325</v>
      </c>
      <c r="H20" s="16">
        <v>153208.90549247892</v>
      </c>
      <c r="I20" s="16">
        <v>78604.124118823951</v>
      </c>
      <c r="J20" s="16">
        <v>47630.845859684399</v>
      </c>
      <c r="K20" s="17">
        <f>SUM(B17:B20)</f>
        <v>879146.52386284526</v>
      </c>
      <c r="L20" s="17">
        <f>SUM(E20,K20)</f>
        <v>1053258.7870729936</v>
      </c>
      <c r="M20" s="17">
        <f t="shared" si="3"/>
        <v>935806.79041774326</v>
      </c>
      <c r="N20" s="17">
        <f>(F20*SUM(Costs!$F$4,Costs!$F$5)+G20*SUM(Costs!$F$4,Costs!$F$5,$W26)+H20*Costs!$F$7+I20*Costs!$F$7+J20*Costs!$F$7) /($Q$9^(A20-$A$3+1))</f>
        <v>289442504.10017335</v>
      </c>
      <c r="O20" s="17">
        <f>(F20*SUM(Costs!$F$4,Costs!$F$5)+G20*SUM(Costs!$F$4,Costs!$F$5,$W27)+H20*Costs!$F$7+I20*Costs!$F$7+J20*Costs!$F$7) /($Q$9^(A20-$A$3+1))</f>
        <v>302715407.53803521</v>
      </c>
      <c r="Q20" s="32">
        <f>M$6-M20</f>
        <v>10415.131921197055</v>
      </c>
      <c r="R20" s="27">
        <f>B$6-B20</f>
        <v>2087.2475883888837</v>
      </c>
      <c r="S20" s="27">
        <f>D$6-D20</f>
        <v>3735.0093764084741</v>
      </c>
      <c r="T20" s="27"/>
      <c r="U20" s="33"/>
      <c r="X20" s="47"/>
      <c r="Y20" s="34"/>
      <c r="Z20" s="34"/>
    </row>
    <row r="21" spans="1:33" ht="14.4" x14ac:dyDescent="0.3">
      <c r="A21" s="14">
        <v>2023</v>
      </c>
      <c r="B21" s="15">
        <v>226906.5478432755</v>
      </c>
      <c r="C21" s="16">
        <v>52603.424595558572</v>
      </c>
      <c r="D21" s="16">
        <v>86892.103435930781</v>
      </c>
      <c r="E21" s="16">
        <v>173754.32982696532</v>
      </c>
      <c r="F21" s="16">
        <v>1087946.7039414544</v>
      </c>
      <c r="G21" s="16">
        <v>98864.0590247527</v>
      </c>
      <c r="H21" s="16">
        <v>153648.06721583562</v>
      </c>
      <c r="I21" s="16">
        <v>77652.039468178467</v>
      </c>
      <c r="J21" s="16">
        <v>46228.734794119438</v>
      </c>
      <c r="K21" s="17">
        <f>SUM(B17:B21)</f>
        <v>1106053.0717061209</v>
      </c>
      <c r="L21" s="17">
        <f t="shared" si="4"/>
        <v>1279807.4015330861</v>
      </c>
      <c r="M21" s="17">
        <f t="shared" si="3"/>
        <v>1103973.1068823112</v>
      </c>
      <c r="N21" s="17">
        <f>(F21*SUM(Costs!$F$4,Costs!$F$5)+G21*SUM(Costs!$F$4,Costs!$F$5,$W26)+H21*Costs!$F$7+I21*Costs!$F$7+J21*Costs!$F$7) /($Q$9^(A21-$A$3+1))</f>
        <v>282961352.04443973</v>
      </c>
      <c r="O21" s="17">
        <f>(F21*SUM(Costs!$F$4,Costs!$F$5)+G21*SUM(Costs!$F$4,Costs!$F$5,$W27)+H21*Costs!$F$7+I21*Costs!$F$7+J21*Costs!$F$7) /($Q$9^(A21-$A$3+1))</f>
        <v>295469358.51668268</v>
      </c>
      <c r="Q21" s="32">
        <f>M$7-M21</f>
        <v>11911.91754163499</v>
      </c>
      <c r="R21" s="27">
        <f>B$7-B21</f>
        <v>2033.6498965212959</v>
      </c>
      <c r="S21" s="27">
        <f>D$7-D21</f>
        <v>3885.8874227642809</v>
      </c>
      <c r="T21" s="27"/>
      <c r="U21" s="33"/>
      <c r="X21" s="47"/>
      <c r="Y21" s="34"/>
      <c r="Z21" s="34"/>
      <c r="AD21" s="63"/>
      <c r="AE21" s="64"/>
      <c r="AF21" s="64"/>
      <c r="AG21" s="64"/>
    </row>
    <row r="22" spans="1:33" ht="14.4" x14ac:dyDescent="0.3">
      <c r="A22" s="14">
        <v>2024</v>
      </c>
      <c r="B22" s="15">
        <v>229860.75010849186</v>
      </c>
      <c r="C22" s="16">
        <v>52182.67257269931</v>
      </c>
      <c r="D22" s="16">
        <v>86577.184961864201</v>
      </c>
      <c r="E22" s="16">
        <v>173352.40329114199</v>
      </c>
      <c r="F22" s="16">
        <v>1102159.7076492843</v>
      </c>
      <c r="G22" s="16">
        <v>95915.108013026329</v>
      </c>
      <c r="H22" s="16">
        <v>153824.13974616307</v>
      </c>
      <c r="I22" s="16">
        <v>76733.260893215804</v>
      </c>
      <c r="J22" s="16">
        <v>44855.675294549699</v>
      </c>
      <c r="K22" s="17">
        <f>SUM(B17:B22)</f>
        <v>1335913.8218146127</v>
      </c>
      <c r="L22" s="17">
        <f t="shared" si="4"/>
        <v>1509266.2251057548</v>
      </c>
      <c r="M22" s="17">
        <f t="shared" si="3"/>
        <v>1263986.7026704382</v>
      </c>
      <c r="N22" s="17">
        <f>(F22*SUM(Costs!$F$4,Costs!$F$5)+G22*SUM(Costs!$F$4,Costs!$F$5,$W26)+H22*Costs!$F$7+I22*Costs!$F$7+J22*Costs!$F$7) /($Q$9^(A22-$A$3+1))</f>
        <v>276418900.45712054</v>
      </c>
      <c r="O22" s="17">
        <f>(F22*SUM(Costs!$F$4,Costs!$F$5)+G22*SUM(Costs!$F$4,Costs!$F$5,$W27)+H22*Costs!$F$7+I22*Costs!$F$7+J22*Costs!$F$7) /($Q$9^(A22-$A$3+1))</f>
        <v>288200369.74976611</v>
      </c>
      <c r="Q22" s="32">
        <f>M$8-M22</f>
        <v>13302.263940991368</v>
      </c>
      <c r="R22" s="27">
        <f>B$8-B22</f>
        <v>1988.752701027639</v>
      </c>
      <c r="S22" s="27">
        <f>D$8-D22</f>
        <v>4057.7049451054481</v>
      </c>
      <c r="T22" s="27"/>
      <c r="U22" s="33"/>
      <c r="X22" s="47"/>
      <c r="Y22" s="34"/>
      <c r="Z22" s="34"/>
      <c r="AD22" s="63"/>
      <c r="AE22" s="64"/>
      <c r="AF22" s="64"/>
      <c r="AG22" s="64"/>
    </row>
    <row r="23" spans="1:33" ht="14.4" x14ac:dyDescent="0.3">
      <c r="A23" s="14">
        <v>2025</v>
      </c>
      <c r="B23" s="15">
        <v>232500.94745589222</v>
      </c>
      <c r="C23" s="16">
        <v>51388.05494776649</v>
      </c>
      <c r="D23" s="16">
        <v>85779.119710490602</v>
      </c>
      <c r="E23" s="16">
        <v>172490.15894311343</v>
      </c>
      <c r="F23" s="16">
        <v>1118857.0999892773</v>
      </c>
      <c r="G23" s="16">
        <v>93306.619170400605</v>
      </c>
      <c r="H23" s="16">
        <v>151506.6616538997</v>
      </c>
      <c r="I23" s="16">
        <v>74834.918524888359</v>
      </c>
      <c r="J23" s="16">
        <v>42969.819860630319</v>
      </c>
      <c r="K23" s="17">
        <f>SUM(B17:B23)</f>
        <v>1568414.7692705048</v>
      </c>
      <c r="L23" s="17">
        <f t="shared" si="4"/>
        <v>1740904.9282136182</v>
      </c>
      <c r="M23" s="17">
        <f t="shared" si="3"/>
        <v>1415515.0191863037</v>
      </c>
      <c r="N23" s="17">
        <f>(F23*SUM(Costs!$F$4,Costs!$F$5)+G23*SUM(Costs!$F$4,Costs!$F$5,$W26)+H23*Costs!$F$7+I23*Costs!$F$7+J23*Costs!$F$7) /($Q$9^(A23-$A$3+1))</f>
        <v>270073222.60648787</v>
      </c>
      <c r="O23" s="17">
        <f>(F23*SUM(Costs!$F$4,Costs!$F$5)+G23*SUM(Costs!$F$4,Costs!$F$5,$W27)+H23*Costs!$F$7+I23*Costs!$F$7+J23*Costs!$F$7) /($Q$9^(A23-$A$3+1))</f>
        <v>281200467.96392745</v>
      </c>
      <c r="Q23" s="32">
        <f>M$9-M23</f>
        <v>14606.682115732227</v>
      </c>
      <c r="R23" s="27">
        <f>B$9-B23</f>
        <v>1957.8048645311501</v>
      </c>
      <c r="S23" s="27">
        <f>D$9-D23</f>
        <v>4249.3268427524745</v>
      </c>
      <c r="T23" s="27"/>
      <c r="U23" s="33"/>
      <c r="AD23" s="63"/>
      <c r="AE23" s="64"/>
      <c r="AF23" s="64"/>
      <c r="AG23" s="64"/>
    </row>
    <row r="24" spans="1:33" ht="15" thickBot="1" x14ac:dyDescent="0.35">
      <c r="A24" s="14">
        <v>2026</v>
      </c>
      <c r="B24" s="15">
        <v>235553.02000314542</v>
      </c>
      <c r="C24" s="16">
        <v>50950.713638272682</v>
      </c>
      <c r="D24" s="16">
        <v>85482.205254742585</v>
      </c>
      <c r="E24" s="16">
        <v>171976.50830683683</v>
      </c>
      <c r="F24" s="16">
        <v>1131081.6594688683</v>
      </c>
      <c r="G24" s="16">
        <v>90471.608947455417</v>
      </c>
      <c r="H24" s="16">
        <v>151160.28089271506</v>
      </c>
      <c r="I24" s="16">
        <v>73943.791555696269</v>
      </c>
      <c r="J24" s="16">
        <v>41661.005818820049</v>
      </c>
      <c r="K24" s="17">
        <f>SUM(B17:B24)</f>
        <v>1803967.7892736502</v>
      </c>
      <c r="L24" s="17">
        <f t="shared" si="4"/>
        <v>1975944.2975804871</v>
      </c>
      <c r="M24" s="17">
        <f t="shared" si="3"/>
        <v>1559828.675</v>
      </c>
      <c r="N24" s="17">
        <f>(F24*SUM(Costs!$F$4,Costs!$F$5)+G24*SUM(Costs!$F$4,Costs!$F$5,$W26)+H24*Costs!$F$7+I24*Costs!$F$7+J24*Costs!$F$7) /($Q$9^(A24-$A$3+1))</f>
        <v>263419593.96118012</v>
      </c>
      <c r="O24" s="17">
        <f>(F24*SUM(Costs!$F$4,Costs!$F$5)+G24*SUM(Costs!$F$4,Costs!$F$5,$W27)+H24*Costs!$F$7+I24*Costs!$F$7+J24*Costs!$F$7) /($Q$9^(A24-$A$3+1))</f>
        <v>273894503.9536885</v>
      </c>
      <c r="Q24" s="32">
        <f>M$10-M24</f>
        <v>15826.851383492351</v>
      </c>
      <c r="R24" s="27">
        <f>B$10-B24</f>
        <v>1933.5748314271041</v>
      </c>
      <c r="S24" s="27">
        <f>D$10-D24</f>
        <v>4451.2450070596969</v>
      </c>
      <c r="T24" s="27"/>
      <c r="U24" s="33"/>
      <c r="AD24" s="63"/>
      <c r="AE24" s="64"/>
      <c r="AF24" s="64"/>
      <c r="AG24" s="64"/>
    </row>
    <row r="25" spans="1:33" x14ac:dyDescent="0.25">
      <c r="A25" s="14">
        <v>2027</v>
      </c>
      <c r="B25" s="15">
        <v>239015.71073950786</v>
      </c>
      <c r="C25" s="16">
        <v>50875.50884927038</v>
      </c>
      <c r="D25" s="16">
        <v>85717.042136508229</v>
      </c>
      <c r="E25" s="16">
        <v>171821.56900774068</v>
      </c>
      <c r="F25" s="16">
        <v>1138871.3000243073</v>
      </c>
      <c r="G25" s="16">
        <v>87491.615622395242</v>
      </c>
      <c r="H25" s="16">
        <v>152899.97103940832</v>
      </c>
      <c r="I25" s="16">
        <v>74069.81301054194</v>
      </c>
      <c r="J25" s="16">
        <v>40903.907076701507</v>
      </c>
      <c r="K25" s="17">
        <f>SUM(B17:B25)</f>
        <v>2042983.500013158</v>
      </c>
      <c r="L25" s="17">
        <f t="shared" si="4"/>
        <v>2214805.0690208985</v>
      </c>
      <c r="M25" s="17">
        <f t="shared" si="3"/>
        <v>1697463.6637770983</v>
      </c>
      <c r="N25" s="17">
        <f>(F25*SUM(Costs!$F$4,Costs!$F$5)+G25*SUM(Costs!$F$4,Costs!$F$5,$W26)+H25*Costs!$F$7+I25*Costs!$F$7+J25*Costs!$F$7) /($Q$9^(A25-$A$3+1))</f>
        <v>256532969.70648175</v>
      </c>
      <c r="O25" s="17">
        <f>(F25*SUM(Costs!$F$4,Costs!$F$5)+G25*SUM(Costs!$F$4,Costs!$F$5,$W27)+H25*Costs!$F$7+I25*Costs!$F$7+J25*Costs!$F$7) /($Q$9^(A25-$A$3+1))</f>
        <v>266367807.41264102</v>
      </c>
      <c r="Q25" s="32">
        <f>M$11-M25</f>
        <v>16975.99040597165</v>
      </c>
      <c r="R25" s="27">
        <f>B$11-B25</f>
        <v>1918.6129981941485</v>
      </c>
      <c r="S25" s="27">
        <f>D$11-D25</f>
        <v>4670.2032636614313</v>
      </c>
      <c r="T25" s="27"/>
      <c r="U25" s="33"/>
      <c r="W25" s="21" t="s">
        <v>25</v>
      </c>
      <c r="X25" s="48" t="s">
        <v>29</v>
      </c>
    </row>
    <row r="26" spans="1:33" ht="13.8" thickBot="1" x14ac:dyDescent="0.3">
      <c r="A26" s="23">
        <v>2028</v>
      </c>
      <c r="B26" s="24">
        <v>242154.59176030371</v>
      </c>
      <c r="C26" s="25">
        <v>50430.790300612018</v>
      </c>
      <c r="D26" s="25">
        <v>85489.196844177626</v>
      </c>
      <c r="E26" s="25">
        <v>171238.74223538372</v>
      </c>
      <c r="F26" s="25">
        <v>1149324.7304847557</v>
      </c>
      <c r="G26" s="25">
        <v>84933.535315799003</v>
      </c>
      <c r="H26" s="25">
        <v>152177.6923030852</v>
      </c>
      <c r="I26" s="25">
        <v>73212.864379104445</v>
      </c>
      <c r="J26" s="25">
        <v>39656.351110143325</v>
      </c>
      <c r="K26" s="26">
        <f>SUM(B17:B26)</f>
        <v>2285138.0917734616</v>
      </c>
      <c r="L26" s="26">
        <f t="shared" si="4"/>
        <v>2456376.8340088455</v>
      </c>
      <c r="M26" s="26">
        <f t="shared" si="3"/>
        <v>1827775.0548792651</v>
      </c>
      <c r="N26" s="26">
        <f>(F26*SUM(Costs!$F$4,Costs!$F$5)+G26*SUM(Costs!$F$4,Costs!$F$5,$W26)+H26*Costs!$F$7+I26*Costs!$F$7+J26*Costs!$F$7) /($Q$9^(A26-$A$3+1))</f>
        <v>249931419.64202899</v>
      </c>
      <c r="O26" s="26">
        <f>(F26*SUM(Costs!$F$4,Costs!$F$5)+G26*SUM(Costs!$F$4,Costs!$F$5,$W27)+H26*Costs!$F$7+I26*Costs!$F$7+J26*Costs!$F$7) /($Q$9^(A26-$A$3+1))</f>
        <v>259200630.00205985</v>
      </c>
      <c r="Q26" s="35">
        <f>M$12-M26</f>
        <v>18070.907614412019</v>
      </c>
      <c r="R26" s="27">
        <f>B$12-B26</f>
        <v>1918.2368899247667</v>
      </c>
      <c r="S26" s="27">
        <f>D$12-D26</f>
        <v>4907.8224837031594</v>
      </c>
      <c r="T26" s="42"/>
      <c r="U26" s="36"/>
      <c r="W26" s="43">
        <v>89.210227015608027</v>
      </c>
      <c r="X26" s="49">
        <f>$Q$6</f>
        <v>500</v>
      </c>
      <c r="Y26" s="22" t="s">
        <v>62</v>
      </c>
      <c r="Z26" s="27"/>
    </row>
    <row r="27" spans="1:33" ht="13.8" thickBot="1" x14ac:dyDescent="0.3">
      <c r="A27" s="12" t="s">
        <v>0</v>
      </c>
      <c r="B27" s="6">
        <f t="shared" ref="B27:O27" si="5">SUM(B17:B26)</f>
        <v>2285138.0917734616</v>
      </c>
      <c r="C27" s="6">
        <f>SUM(C17:C26)</f>
        <v>522633.89317982481</v>
      </c>
      <c r="D27" s="6">
        <f t="shared" si="5"/>
        <v>866674.6659874738</v>
      </c>
      <c r="E27" s="6">
        <f t="shared" si="5"/>
        <v>1732240.1740292385</v>
      </c>
      <c r="F27" s="6">
        <f t="shared" si="5"/>
        <v>10922691.003546527</v>
      </c>
      <c r="G27" s="6">
        <f t="shared" si="5"/>
        <v>976545.84524496505</v>
      </c>
      <c r="H27" s="6">
        <f t="shared" si="5"/>
        <v>1520753.389428904</v>
      </c>
      <c r="I27" s="6">
        <f t="shared" si="5"/>
        <v>769934.01077110728</v>
      </c>
      <c r="J27" s="6">
        <f t="shared" si="5"/>
        <v>454782.93052070914</v>
      </c>
      <c r="K27" s="6">
        <f t="shared" si="5"/>
        <v>12326524.068995515</v>
      </c>
      <c r="L27" s="6">
        <f t="shared" si="5"/>
        <v>14058764.243024752</v>
      </c>
      <c r="M27" s="6">
        <f t="shared" si="5"/>
        <v>11516065.447606033</v>
      </c>
      <c r="N27" s="6">
        <f t="shared" si="5"/>
        <v>2795206487.8475924</v>
      </c>
      <c r="O27" s="6">
        <f t="shared" si="5"/>
        <v>2918264487.0940132</v>
      </c>
      <c r="Q27" s="6">
        <f>SUM(Q17:Q26)</f>
        <v>122081.34845875081</v>
      </c>
      <c r="R27" s="37">
        <f>SUM(R17:R26)</f>
        <v>20480.225679429044</v>
      </c>
      <c r="S27" s="37">
        <f>SUM(S17:S26)</f>
        <v>40539.880292744914</v>
      </c>
      <c r="T27" s="18">
        <f>(N27-N$13)/Q27</f>
        <v>499.99999999999966</v>
      </c>
      <c r="U27" s="18">
        <f>(O27-O$13)/Q27</f>
        <v>1508</v>
      </c>
      <c r="W27" s="44">
        <v>235.87836675704256</v>
      </c>
      <c r="X27" s="50">
        <f>$Q$3</f>
        <v>1508</v>
      </c>
      <c r="Y27" s="22" t="s">
        <v>63</v>
      </c>
    </row>
    <row r="28" spans="1:33" x14ac:dyDescent="0.25">
      <c r="E28" s="52"/>
      <c r="K28" s="52"/>
      <c r="L28" s="52"/>
      <c r="M28" s="52"/>
      <c r="N28" s="52"/>
    </row>
    <row r="29" spans="1:33" ht="15" x14ac:dyDescent="0.4">
      <c r="B29" s="7" t="s">
        <v>26</v>
      </c>
      <c r="C29" s="8"/>
      <c r="D29" s="8"/>
      <c r="E29" s="8"/>
      <c r="F29" s="29"/>
      <c r="G29" s="8"/>
      <c r="H29" s="29"/>
      <c r="I29" s="29"/>
      <c r="J29" s="29"/>
      <c r="K29" s="8"/>
      <c r="L29" s="8"/>
      <c r="M29" s="8"/>
      <c r="N29" s="8"/>
      <c r="O29" s="30"/>
      <c r="Q29" s="7" t="s">
        <v>15</v>
      </c>
      <c r="R29" s="8"/>
      <c r="S29" s="8"/>
      <c r="T29" s="41"/>
      <c r="U29" s="31"/>
    </row>
    <row r="30" spans="1:33" ht="26.4" customHeight="1" x14ac:dyDescent="0.25">
      <c r="A30" s="9" t="s">
        <v>16</v>
      </c>
      <c r="B30" s="10" t="s">
        <v>3</v>
      </c>
      <c r="C30" s="11" t="s">
        <v>19</v>
      </c>
      <c r="D30" s="11" t="s">
        <v>4</v>
      </c>
      <c r="E30" s="11" t="s">
        <v>1</v>
      </c>
      <c r="F30" s="11" t="s">
        <v>10</v>
      </c>
      <c r="G30" s="11" t="s">
        <v>14</v>
      </c>
      <c r="H30" s="11" t="s">
        <v>13</v>
      </c>
      <c r="I30" s="11" t="s">
        <v>11</v>
      </c>
      <c r="J30" s="11" t="s">
        <v>12</v>
      </c>
      <c r="K30" s="11" t="s">
        <v>2</v>
      </c>
      <c r="L30" s="11" t="s">
        <v>17</v>
      </c>
      <c r="M30" s="11" t="s">
        <v>18</v>
      </c>
      <c r="N30" s="40" t="s">
        <v>27</v>
      </c>
      <c r="O30" s="40" t="s">
        <v>58</v>
      </c>
      <c r="Q30" s="10" t="s">
        <v>18</v>
      </c>
      <c r="R30" s="11" t="s">
        <v>3</v>
      </c>
      <c r="S30" s="11" t="s">
        <v>4</v>
      </c>
      <c r="T30" s="40" t="s">
        <v>28</v>
      </c>
      <c r="U30" s="40" t="s">
        <v>68</v>
      </c>
    </row>
    <row r="31" spans="1:33" x14ac:dyDescent="0.25">
      <c r="A31" s="14">
        <v>2019</v>
      </c>
      <c r="B31" s="15">
        <v>216803.59773085846</v>
      </c>
      <c r="C31" s="16">
        <v>55230.656107737464</v>
      </c>
      <c r="D31" s="16">
        <v>90311.629643959575</v>
      </c>
      <c r="E31" s="16">
        <v>176120.64043354537</v>
      </c>
      <c r="F31" s="16">
        <v>1022100.8083758826</v>
      </c>
      <c r="G31" s="16">
        <v>110800.234791273</v>
      </c>
      <c r="H31" s="16">
        <v>150422.19354594202</v>
      </c>
      <c r="I31" s="16">
        <v>81699.533158188657</v>
      </c>
      <c r="J31" s="16">
        <v>51940.960040839862</v>
      </c>
      <c r="K31" s="17">
        <f>SUM(B31:B31)</f>
        <v>216803.59773085846</v>
      </c>
      <c r="L31" s="17">
        <f>SUM(E31,K31)</f>
        <v>392924.23816440383</v>
      </c>
      <c r="M31" s="17">
        <f t="shared" ref="M31:M40" si="6">L31/($Q$9^(A31-$A$3+1))</f>
        <v>381479.84287806193</v>
      </c>
      <c r="N31" s="17">
        <f>(F31*SUM(Costs!$F$4,Costs!$F$5)+G31*SUM(Costs!$F$4,Costs!$F$5,$W40)+H31*Costs!$F$7+I31*Costs!$F$7+J31*Costs!$F$7) /($Q$9^(A31-$A$3+1))</f>
        <v>303450243.20520997</v>
      </c>
      <c r="O31" s="17">
        <f>(F31*SUM(Costs!$F$4,Costs!$F$5)+G31*SUM(Costs!$F$4,Costs!$F$5,$W41)+H31*Costs!$F$7+I31*Costs!$F$7+J31*Costs!$F$7) /($Q$9^(A31-$A$3+1))</f>
        <v>311952608.45764065</v>
      </c>
      <c r="Q31" s="32">
        <f>M$3-M31</f>
        <v>2955.7695647400687</v>
      </c>
      <c r="R31" s="27">
        <f>B$3-B31</f>
        <v>1311.0234205881134</v>
      </c>
      <c r="S31" s="27">
        <f>D$3-D31</f>
        <v>1534.4379374194978</v>
      </c>
      <c r="T31" s="27"/>
      <c r="U31" s="33"/>
    </row>
    <row r="32" spans="1:33" x14ac:dyDescent="0.25">
      <c r="A32" s="14">
        <v>2020</v>
      </c>
      <c r="B32" s="15">
        <v>219058.19039551876</v>
      </c>
      <c r="C32" s="16">
        <v>54446.006669298695</v>
      </c>
      <c r="D32" s="16">
        <v>89451.218008096592</v>
      </c>
      <c r="E32" s="16">
        <v>175536.85072152989</v>
      </c>
      <c r="F32" s="16">
        <v>1043783.397690047</v>
      </c>
      <c r="G32" s="16">
        <v>108421.61511835761</v>
      </c>
      <c r="H32" s="16">
        <v>149833.3850723982</v>
      </c>
      <c r="I32" s="16">
        <v>79655.805977542565</v>
      </c>
      <c r="J32" s="16">
        <v>49904.796317988345</v>
      </c>
      <c r="K32" s="17">
        <f>SUM(B31:B32)</f>
        <v>435861.78812637721</v>
      </c>
      <c r="L32" s="17">
        <f t="shared" ref="L32:L33" si="7">SUM(E32,K32)</f>
        <v>611398.63884790707</v>
      </c>
      <c r="M32" s="17">
        <f t="shared" si="6"/>
        <v>576301.85582798289</v>
      </c>
      <c r="N32" s="17">
        <f>(F32*SUM(Costs!$F$4,Costs!$F$5)+G32*SUM(Costs!$F$4,Costs!$F$5,$W40)+H32*Costs!$F$7+I32*Costs!$F$7+J32*Costs!$F$7) /($Q$9^(A32-$A$3+1))</f>
        <v>298063046.7676782</v>
      </c>
      <c r="O32" s="17">
        <f>(F32*SUM(Costs!$F$4,Costs!$F$5)+G32*SUM(Costs!$F$4,Costs!$F$5,$W41)+H32*Costs!$F$7+I32*Costs!$F$7+J32*Costs!$F$7) /($Q$9^(A32-$A$3+1))</f>
        <v>306140560.87136388</v>
      </c>
      <c r="Q32" s="32">
        <f>M$4-M32</f>
        <v>4005.0591857156251</v>
      </c>
      <c r="R32" s="27">
        <f>B$4-B32</f>
        <v>1258.901858663332</v>
      </c>
      <c r="S32" s="27">
        <f>D$4-D32</f>
        <v>1576.1944453917386</v>
      </c>
      <c r="T32" s="27"/>
      <c r="U32" s="33"/>
    </row>
    <row r="33" spans="1:26" x14ac:dyDescent="0.25">
      <c r="A33" s="14">
        <v>2021</v>
      </c>
      <c r="B33" s="15">
        <v>222141.97069696532</v>
      </c>
      <c r="C33" s="16">
        <v>54387.209883298659</v>
      </c>
      <c r="D33" s="16">
        <v>89598.11320680716</v>
      </c>
      <c r="E33" s="16">
        <v>175754.03583271106</v>
      </c>
      <c r="F33" s="16">
        <v>1058034.8062121808</v>
      </c>
      <c r="G33" s="16">
        <v>105286.20574802055</v>
      </c>
      <c r="H33" s="16">
        <v>153039.4056371747</v>
      </c>
      <c r="I33" s="16">
        <v>79676.226967362396</v>
      </c>
      <c r="J33" s="16">
        <v>49075.178462965589</v>
      </c>
      <c r="K33" s="17">
        <f>SUM(B31:B33)</f>
        <v>658003.7588233425</v>
      </c>
      <c r="L33" s="17">
        <f t="shared" si="7"/>
        <v>833757.79465605353</v>
      </c>
      <c r="M33" s="17">
        <f t="shared" si="6"/>
        <v>763006.49170017173</v>
      </c>
      <c r="N33" s="17">
        <f>(F33*SUM(Costs!$F$4,Costs!$F$5)+G33*SUM(Costs!$F$4,Costs!$F$5,$W40)+H33*Costs!$F$7+I33*Costs!$F$7+J33*Costs!$F$7) /($Q$9^(A33-$A$3+1))</f>
        <v>291962767.75254059</v>
      </c>
      <c r="O33" s="17">
        <f>(F33*SUM(Costs!$F$4,Costs!$F$5)+G33*SUM(Costs!$F$4,Costs!$F$5,$W41)+H33*Costs!$F$7+I33*Costs!$F$7+J33*Costs!$F$7) /($Q$9^(A33-$A$3+1))</f>
        <v>299578227.07728976</v>
      </c>
      <c r="Q33" s="32">
        <f>M$5-M33</f>
        <v>4939.019171520602</v>
      </c>
      <c r="R33" s="27">
        <f>B$5-B33</f>
        <v>1200.5364684095257</v>
      </c>
      <c r="S33" s="27">
        <f>D$5-D33</f>
        <v>1610.5169363328459</v>
      </c>
      <c r="T33" s="27"/>
      <c r="U33" s="33"/>
    </row>
    <row r="34" spans="1:26" x14ac:dyDescent="0.25">
      <c r="A34" s="14">
        <v>2022</v>
      </c>
      <c r="B34" s="15">
        <v>224952.63066303899</v>
      </c>
      <c r="C34" s="16">
        <v>53968.480402175832</v>
      </c>
      <c r="D34" s="16">
        <v>89312.934601941815</v>
      </c>
      <c r="E34" s="16">
        <v>175511.89548789753</v>
      </c>
      <c r="F34" s="16">
        <v>1074777.1048650239</v>
      </c>
      <c r="G34" s="16">
        <v>102481.49882757931</v>
      </c>
      <c r="H34" s="16">
        <v>153923.42941886417</v>
      </c>
      <c r="I34" s="16">
        <v>78748.856740413627</v>
      </c>
      <c r="J34" s="16">
        <v>47668.257844483735</v>
      </c>
      <c r="K34" s="17">
        <f>SUM(B31:B34)</f>
        <v>882956.38948638155</v>
      </c>
      <c r="L34" s="17">
        <f>SUM(E34,K34)</f>
        <v>1058468.2849742791</v>
      </c>
      <c r="M34" s="17">
        <f t="shared" si="6"/>
        <v>940435.36182917946</v>
      </c>
      <c r="N34" s="17">
        <f>(F34*SUM(Costs!$F$4,Costs!$F$5)+G34*SUM(Costs!$F$4,Costs!$F$5,$W40)+H34*Costs!$F$7+I34*Costs!$F$7+J34*Costs!$F$7) /($Q$9^(A34-$A$3+1))</f>
        <v>286030272.21936542</v>
      </c>
      <c r="O34" s="17">
        <f>(F34*SUM(Costs!$F$4,Costs!$F$5)+G34*SUM(Costs!$F$4,Costs!$F$5,$W41)+H34*Costs!$F$7+I34*Costs!$F$7+J34*Costs!$F$7) /($Q$9^(A34-$A$3+1))</f>
        <v>293226963.47617722</v>
      </c>
      <c r="Q34" s="32">
        <f>M$6-M34</f>
        <v>5786.5605097608641</v>
      </c>
      <c r="R34" s="27">
        <f>B$6-B34</f>
        <v>1149.2661266056239</v>
      </c>
      <c r="S34" s="27">
        <f>D$6-D34</f>
        <v>1660.4591915089113</v>
      </c>
      <c r="T34" s="27"/>
      <c r="U34" s="33"/>
      <c r="X34" s="47"/>
      <c r="Y34" s="34"/>
      <c r="Z34" s="34"/>
    </row>
    <row r="35" spans="1:26" x14ac:dyDescent="0.25">
      <c r="A35" s="14">
        <v>2023</v>
      </c>
      <c r="B35" s="15">
        <v>227837.43853378063</v>
      </c>
      <c r="C35" s="16">
        <v>53547.902784859216</v>
      </c>
      <c r="D35" s="16">
        <v>89059.06060606573</v>
      </c>
      <c r="E35" s="16">
        <v>175225.05751357021</v>
      </c>
      <c r="F35" s="16">
        <v>1090613.390902014</v>
      </c>
      <c r="G35" s="16">
        <v>99681.590339515984</v>
      </c>
      <c r="H35" s="16">
        <v>154537.0024821097</v>
      </c>
      <c r="I35" s="16">
        <v>77865.302394565966</v>
      </c>
      <c r="J35" s="16">
        <v>46280.248548229887</v>
      </c>
      <c r="K35" s="17">
        <f>SUM(B31:B35)</f>
        <v>1110793.8280201622</v>
      </c>
      <c r="L35" s="17">
        <f t="shared" ref="L35:L40" si="8">SUM(E35,K35)</f>
        <v>1286018.8855337324</v>
      </c>
      <c r="M35" s="17">
        <f t="shared" si="6"/>
        <v>1109331.1875453303</v>
      </c>
      <c r="N35" s="17">
        <f>(F35*SUM(Costs!$F$4,Costs!$F$5)+G35*SUM(Costs!$F$4,Costs!$F$5,$W40)+H35*Costs!$F$7+I35*Costs!$F$7+J35*Costs!$F$7) /($Q$9^(A35-$A$3+1))</f>
        <v>279987171.11010778</v>
      </c>
      <c r="O35" s="17">
        <f>(F35*SUM(Costs!$F$4,Costs!$F$5)+G35*SUM(Costs!$F$4,Costs!$F$5,$W41)+H35*Costs!$F$7+I35*Costs!$F$7+J35*Costs!$F$7) /($Q$9^(A35-$A$3+1))</f>
        <v>286783355.23662496</v>
      </c>
      <c r="Q35" s="32">
        <f>M$7-M35</f>
        <v>6553.8368786158971</v>
      </c>
      <c r="R35" s="27">
        <f>B$7-B35</f>
        <v>1102.7592060161696</v>
      </c>
      <c r="S35" s="27">
        <f>D$7-D35</f>
        <v>1718.9302526293322</v>
      </c>
      <c r="T35" s="27"/>
      <c r="U35" s="33"/>
      <c r="X35" s="47"/>
      <c r="Y35" s="34"/>
      <c r="Z35" s="34"/>
    </row>
    <row r="36" spans="1:26" x14ac:dyDescent="0.25">
      <c r="A36" s="14">
        <v>2024</v>
      </c>
      <c r="B36" s="15">
        <v>230787.56238637702</v>
      </c>
      <c r="C36" s="16">
        <v>53127.374014477413</v>
      </c>
      <c r="D36" s="16">
        <v>88850.744715098393</v>
      </c>
      <c r="E36" s="16">
        <v>174910.50536808258</v>
      </c>
      <c r="F36" s="16">
        <v>1105613.7761643452</v>
      </c>
      <c r="G36" s="16">
        <v>96934.486063592427</v>
      </c>
      <c r="H36" s="16">
        <v>154878.75204956016</v>
      </c>
      <c r="I36" s="16">
        <v>77026.762592955332</v>
      </c>
      <c r="J36" s="16">
        <v>44923.841447738087</v>
      </c>
      <c r="K36" s="17">
        <f>SUM(B31:B36)</f>
        <v>1341581.3904065392</v>
      </c>
      <c r="L36" s="17">
        <f t="shared" si="8"/>
        <v>1516491.8957746217</v>
      </c>
      <c r="M36" s="17">
        <f t="shared" si="6"/>
        <v>1270038.0880995949</v>
      </c>
      <c r="N36" s="17">
        <f>(F36*SUM(Costs!$F$4,Costs!$F$5)+G36*SUM(Costs!$F$4,Costs!$F$5,$W40)+H36*Costs!$F$7+I36*Costs!$F$7+J36*Costs!$F$7) /($Q$9^(A36-$A$3+1))</f>
        <v>273877422.36699301</v>
      </c>
      <c r="O36" s="17">
        <f>(F36*SUM(Costs!$F$4,Costs!$F$5)+G36*SUM(Costs!$F$4,Costs!$F$5,$W41)+H36*Costs!$F$7+I36*Costs!$F$7+J36*Costs!$F$7) /($Q$9^(A36-$A$3+1))</f>
        <v>280293819.93746471</v>
      </c>
      <c r="Q36" s="32">
        <f>M$8-M36</f>
        <v>7250.8785118346568</v>
      </c>
      <c r="R36" s="27">
        <f>B$8-B36</f>
        <v>1061.9404231424851</v>
      </c>
      <c r="S36" s="27">
        <f>D$8-D36</f>
        <v>1784.1451918712555</v>
      </c>
      <c r="T36" s="27"/>
      <c r="U36" s="33"/>
      <c r="X36" s="47"/>
      <c r="Y36" s="34"/>
      <c r="Z36" s="34"/>
    </row>
    <row r="37" spans="1:26" x14ac:dyDescent="0.25">
      <c r="A37" s="14">
        <v>2025</v>
      </c>
      <c r="B37" s="15">
        <v>233428.59337268604</v>
      </c>
      <c r="C37" s="16">
        <v>52338.187731414168</v>
      </c>
      <c r="D37" s="16">
        <v>88171.483974830553</v>
      </c>
      <c r="E37" s="16">
        <v>174153.46940207994</v>
      </c>
      <c r="F37" s="16">
        <v>1123197.8945522408</v>
      </c>
      <c r="G37" s="16">
        <v>94543.026710082282</v>
      </c>
      <c r="H37" s="16">
        <v>152712.61756932386</v>
      </c>
      <c r="I37" s="16">
        <v>75212.665611415767</v>
      </c>
      <c r="J37" s="16">
        <v>43056.279100879503</v>
      </c>
      <c r="K37" s="17">
        <f>SUM(B31:B37)</f>
        <v>1575009.9837792253</v>
      </c>
      <c r="L37" s="17">
        <f t="shared" si="8"/>
        <v>1749163.4531813052</v>
      </c>
      <c r="M37" s="17">
        <f t="shared" si="6"/>
        <v>1422229.955733747</v>
      </c>
      <c r="N37" s="17">
        <f>(F37*SUM(Costs!$F$4,Costs!$F$5)+G37*SUM(Costs!$F$4,Costs!$F$5,$W40)+H37*Costs!$F$7+I37*Costs!$F$7+J37*Costs!$F$7) /($Q$9^(A37-$A$3+1))</f>
        <v>267950348.12046513</v>
      </c>
      <c r="O37" s="17">
        <f>(F37*SUM(Costs!$F$4,Costs!$F$5)+G37*SUM(Costs!$F$4,Costs!$F$5,$W41)+H37*Costs!$F$7+I37*Costs!$F$7+J37*Costs!$F$7) /($Q$9^(A37-$A$3+1))</f>
        <v>274026172.7587623</v>
      </c>
      <c r="Q37" s="32">
        <f>M$9-M37</f>
        <v>7891.7455682889558</v>
      </c>
      <c r="R37" s="27">
        <f>B$9-B37</f>
        <v>1030.1589477373345</v>
      </c>
      <c r="S37" s="27">
        <f>D$9-D37</f>
        <v>1856.9625784125237</v>
      </c>
      <c r="T37" s="27"/>
      <c r="U37" s="33"/>
    </row>
    <row r="38" spans="1:26" ht="13.8" thickBot="1" x14ac:dyDescent="0.3">
      <c r="A38" s="14">
        <v>2026</v>
      </c>
      <c r="B38" s="15">
        <v>236484.40293219846</v>
      </c>
      <c r="C38" s="16">
        <v>51909.438944887093</v>
      </c>
      <c r="D38" s="16">
        <v>87999.621705978643</v>
      </c>
      <c r="E38" s="16">
        <v>173759.94359171373</v>
      </c>
      <c r="F38" s="16">
        <v>1136390.0049050096</v>
      </c>
      <c r="G38" s="16">
        <v>91931.693144050863</v>
      </c>
      <c r="H38" s="16">
        <v>152522.99533570369</v>
      </c>
      <c r="I38" s="16">
        <v>74417.938527519145</v>
      </c>
      <c r="J38" s="16">
        <v>41770.570073892566</v>
      </c>
      <c r="K38" s="17">
        <f>SUM(B31:B38)</f>
        <v>1811494.3867114238</v>
      </c>
      <c r="L38" s="17">
        <f t="shared" si="8"/>
        <v>1985254.3303031374</v>
      </c>
      <c r="M38" s="17">
        <f t="shared" si="6"/>
        <v>1567178.1008030251</v>
      </c>
      <c r="N38" s="17">
        <f>(F38*SUM(Costs!$F$4,Costs!$F$5)+G38*SUM(Costs!$F$4,Costs!$F$5,$W40)+H38*Costs!$F$7+I38*Costs!$F$7+J38*Costs!$F$7) /($Q$9^(A38-$A$3+1))</f>
        <v>261720225.15602732</v>
      </c>
      <c r="O38" s="17">
        <f>(F38*SUM(Costs!$F$4,Costs!$F$5)+G38*SUM(Costs!$F$4,Costs!$F$5,$W41)+H38*Costs!$F$7+I38*Costs!$F$7+J38*Costs!$F$7) /($Q$9^(A38-$A$3+1))</f>
        <v>267456154.1039755</v>
      </c>
      <c r="Q38" s="32">
        <f>M$10-M38</f>
        <v>8477.4255804673303</v>
      </c>
      <c r="R38" s="27">
        <f>B$10-B38</f>
        <v>1002.1919023740629</v>
      </c>
      <c r="S38" s="27">
        <f>D$10-D38</f>
        <v>1933.8285558236385</v>
      </c>
      <c r="T38" s="27"/>
      <c r="U38" s="33"/>
    </row>
    <row r="39" spans="1:26" x14ac:dyDescent="0.25">
      <c r="A39" s="14">
        <v>2027</v>
      </c>
      <c r="B39" s="15">
        <v>239955.14044671529</v>
      </c>
      <c r="C39" s="16">
        <v>51847.3728033199</v>
      </c>
      <c r="D39" s="16">
        <v>88369.382950496176</v>
      </c>
      <c r="E39" s="16">
        <v>173741.64278146072</v>
      </c>
      <c r="F39" s="16">
        <v>1145225.4050431948</v>
      </c>
      <c r="G39" s="16">
        <v>89178.937393252229</v>
      </c>
      <c r="H39" s="16">
        <v>154430.84845029644</v>
      </c>
      <c r="I39" s="16">
        <v>74654.377789060251</v>
      </c>
      <c r="J39" s="16">
        <v>41042.654434132601</v>
      </c>
      <c r="K39" s="17">
        <f>SUM(B31:B39)</f>
        <v>2051449.527158139</v>
      </c>
      <c r="L39" s="17">
        <f t="shared" si="8"/>
        <v>2225191.1699395999</v>
      </c>
      <c r="M39" s="17">
        <f t="shared" si="6"/>
        <v>1705423.7453050003</v>
      </c>
      <c r="N39" s="17">
        <f>(F39*SUM(Costs!$F$4,Costs!$F$5)+G39*SUM(Costs!$F$4,Costs!$F$5,$W40)+H39*Costs!$F$7+I39*Costs!$F$7+J39*Costs!$F$7) /($Q$9^(A39-$A$3+1))</f>
        <v>255257714.72116491</v>
      </c>
      <c r="O39" s="17">
        <f>(F39*SUM(Costs!$F$4,Costs!$F$5)+G39*SUM(Costs!$F$4,Costs!$F$5,$W41)+H39*Costs!$F$7+I39*Costs!$F$7+J39*Costs!$F$7) /($Q$9^(A39-$A$3+1))</f>
        <v>260659826.58119193</v>
      </c>
      <c r="Q39" s="32">
        <f>M$11-M39</f>
        <v>9015.9088780696038</v>
      </c>
      <c r="R39" s="27">
        <f>B$11-B39</f>
        <v>979.18329098672257</v>
      </c>
      <c r="S39" s="27">
        <f>D$11-D39</f>
        <v>2017.8624496734847</v>
      </c>
      <c r="T39" s="27"/>
      <c r="U39" s="33"/>
      <c r="W39" s="21" t="s">
        <v>25</v>
      </c>
      <c r="X39" s="48" t="s">
        <v>29</v>
      </c>
    </row>
    <row r="40" spans="1:26" ht="13.8" thickBot="1" x14ac:dyDescent="0.3">
      <c r="A40" s="23">
        <v>2028</v>
      </c>
      <c r="B40" s="24">
        <v>243107.45519789238</v>
      </c>
      <c r="C40" s="25">
        <v>51421.409467118967</v>
      </c>
      <c r="D40" s="25">
        <v>88286.443990738102</v>
      </c>
      <c r="E40" s="25">
        <v>173312.21365092846</v>
      </c>
      <c r="F40" s="25">
        <v>1156844.6247139473</v>
      </c>
      <c r="G40" s="25">
        <v>86860.262289514241</v>
      </c>
      <c r="H40" s="25">
        <v>153865.42710426796</v>
      </c>
      <c r="I40" s="25">
        <v>73903.125913305703</v>
      </c>
      <c r="J40" s="25">
        <v>39826.18915019503</v>
      </c>
      <c r="K40" s="26">
        <f>SUM(B31:B40)</f>
        <v>2294556.9823560314</v>
      </c>
      <c r="L40" s="26">
        <f t="shared" si="8"/>
        <v>2467869.1960069598</v>
      </c>
      <c r="M40" s="26">
        <f t="shared" si="6"/>
        <v>1836326.4515098524</v>
      </c>
      <c r="N40" s="26">
        <f>(F40*SUM(Costs!$F$4,Costs!$F$5)+G40*SUM(Costs!$F$4,Costs!$F$5,$W40)+H40*Costs!$F$7+I40*Costs!$F$7+J40*Costs!$F$7) /($Q$9^(A40-$A$3+1))</f>
        <v>249064459.61508378</v>
      </c>
      <c r="O40" s="26">
        <f>(F40*SUM(Costs!$F$4,Costs!$F$5)+G40*SUM(Costs!$F$4,Costs!$F$5,$W41)+H40*Costs!$F$7+I40*Costs!$F$7+J40*Costs!$F$7) /($Q$9^(A40-$A$3+1))</f>
        <v>254172863.08564684</v>
      </c>
      <c r="Q40" s="35">
        <f>M$12-M40</f>
        <v>9519.5109838247299</v>
      </c>
      <c r="R40" s="27">
        <f>B$12-B40</f>
        <v>965.37345233609085</v>
      </c>
      <c r="S40" s="27">
        <f>D$12-D40</f>
        <v>2110.5753371426836</v>
      </c>
      <c r="T40" s="42"/>
      <c r="U40" s="36"/>
      <c r="W40" s="43">
        <v>43.960183382064741</v>
      </c>
      <c r="X40" s="49">
        <f>$Q$6</f>
        <v>500</v>
      </c>
      <c r="Y40" s="22" t="s">
        <v>64</v>
      </c>
      <c r="Z40" s="27"/>
    </row>
    <row r="41" spans="1:26" ht="13.8" thickBot="1" x14ac:dyDescent="0.3">
      <c r="A41" s="12" t="s">
        <v>0</v>
      </c>
      <c r="B41" s="6">
        <f t="shared" ref="B41" si="9">SUM(B31:B40)</f>
        <v>2294556.9823560314</v>
      </c>
      <c r="C41" s="6">
        <f>SUM(C31:C40)</f>
        <v>532224.03880858747</v>
      </c>
      <c r="D41" s="6">
        <f t="shared" ref="D41:O41" si="10">SUM(D31:D40)</f>
        <v>889410.63340401277</v>
      </c>
      <c r="E41" s="6">
        <f t="shared" si="10"/>
        <v>1748026.2547835195</v>
      </c>
      <c r="F41" s="6">
        <f t="shared" si="10"/>
        <v>10956581.213423885</v>
      </c>
      <c r="G41" s="6">
        <f t="shared" si="10"/>
        <v>986119.55042523867</v>
      </c>
      <c r="H41" s="6">
        <f t="shared" si="10"/>
        <v>1530166.056665641</v>
      </c>
      <c r="I41" s="6">
        <f t="shared" si="10"/>
        <v>772860.59567232931</v>
      </c>
      <c r="J41" s="6">
        <f t="shared" si="10"/>
        <v>455488.97542134527</v>
      </c>
      <c r="K41" s="6">
        <f t="shared" si="10"/>
        <v>12378511.632598482</v>
      </c>
      <c r="L41" s="6">
        <f t="shared" si="10"/>
        <v>14126537.887381999</v>
      </c>
      <c r="M41" s="6">
        <f t="shared" si="10"/>
        <v>11571751.081231946</v>
      </c>
      <c r="N41" s="6">
        <f t="shared" si="10"/>
        <v>2767363671.0346355</v>
      </c>
      <c r="O41" s="6">
        <f t="shared" si="10"/>
        <v>2834290551.5861378</v>
      </c>
      <c r="Q41" s="6">
        <f>SUM(Q31:Q40)</f>
        <v>66395.714832838334</v>
      </c>
      <c r="R41" s="37">
        <f>SUM(R31:R40)</f>
        <v>11061.33509685946</v>
      </c>
      <c r="S41" s="37">
        <f>SUM(S31:S40)</f>
        <v>17803.912876205912</v>
      </c>
      <c r="T41" s="18">
        <f>(N41-N$13)/Q41</f>
        <v>499.99999999999073</v>
      </c>
      <c r="U41" s="18">
        <f>(O41-O$13)/Q41</f>
        <v>1508.0000000000086</v>
      </c>
      <c r="W41" s="44">
        <v>122.99824883834236</v>
      </c>
      <c r="X41" s="50">
        <f>$Q$3</f>
        <v>1508</v>
      </c>
      <c r="Y41" s="22" t="s">
        <v>65</v>
      </c>
    </row>
    <row r="43" spans="1:26" ht="15" x14ac:dyDescent="0.4">
      <c r="B43" s="7" t="s">
        <v>79</v>
      </c>
      <c r="C43" s="8"/>
      <c r="D43" s="8"/>
      <c r="E43" s="8"/>
      <c r="F43" s="29"/>
      <c r="G43" s="8"/>
      <c r="H43" s="29"/>
      <c r="I43" s="29"/>
      <c r="J43" s="29"/>
      <c r="K43" s="8"/>
      <c r="L43" s="8"/>
      <c r="M43" s="8"/>
      <c r="N43" s="8"/>
      <c r="O43" s="30"/>
      <c r="Q43" s="7" t="s">
        <v>15</v>
      </c>
      <c r="R43" s="8"/>
      <c r="S43" s="8"/>
      <c r="T43" s="41"/>
      <c r="U43" s="31"/>
    </row>
    <row r="44" spans="1:26" ht="26.4" customHeight="1" x14ac:dyDescent="0.25">
      <c r="A44" s="9" t="s">
        <v>16</v>
      </c>
      <c r="B44" s="10" t="s">
        <v>3</v>
      </c>
      <c r="C44" s="11" t="s">
        <v>19</v>
      </c>
      <c r="D44" s="11" t="s">
        <v>4</v>
      </c>
      <c r="E44" s="11" t="s">
        <v>1</v>
      </c>
      <c r="F44" s="11" t="s">
        <v>10</v>
      </c>
      <c r="G44" s="11" t="s">
        <v>14</v>
      </c>
      <c r="H44" s="11" t="s">
        <v>13</v>
      </c>
      <c r="I44" s="11" t="s">
        <v>11</v>
      </c>
      <c r="J44" s="11" t="s">
        <v>12</v>
      </c>
      <c r="K44" s="11" t="s">
        <v>2</v>
      </c>
      <c r="L44" s="11" t="s">
        <v>17</v>
      </c>
      <c r="M44" s="11" t="s">
        <v>18</v>
      </c>
      <c r="N44" s="40" t="s">
        <v>27</v>
      </c>
      <c r="O44" s="40" t="s">
        <v>58</v>
      </c>
      <c r="Q44" s="10" t="s">
        <v>18</v>
      </c>
      <c r="R44" s="11" t="s">
        <v>3</v>
      </c>
      <c r="S44" s="11" t="s">
        <v>4</v>
      </c>
      <c r="T44" s="40" t="s">
        <v>28</v>
      </c>
      <c r="U44" s="40" t="s">
        <v>68</v>
      </c>
    </row>
    <row r="45" spans="1:26" x14ac:dyDescent="0.25">
      <c r="A45" s="14">
        <v>2019</v>
      </c>
      <c r="B45" s="15">
        <v>215195.48280057686</v>
      </c>
      <c r="C45" s="16">
        <v>53621.128492974341</v>
      </c>
      <c r="D45" s="16">
        <v>87139.998719680283</v>
      </c>
      <c r="E45" s="16">
        <v>174008.03556362135</v>
      </c>
      <c r="F45" s="16">
        <v>1021728.3661670634</v>
      </c>
      <c r="G45" s="16">
        <v>110658.06135556442</v>
      </c>
      <c r="H45" s="16">
        <v>150238.93817245643</v>
      </c>
      <c r="I45" s="16">
        <v>81677.616580180504</v>
      </c>
      <c r="J45" s="16">
        <v>51933.357793680734</v>
      </c>
      <c r="K45" s="17">
        <f>SUM(B45:B45)</f>
        <v>215195.48280057686</v>
      </c>
      <c r="L45" s="17">
        <f t="shared" ref="L45:L54" si="11">SUM(E45,K45)</f>
        <v>389203.51836419821</v>
      </c>
      <c r="M45" s="17">
        <f t="shared" ref="M45:M54" si="12">L45/($Q$9^(A45-$A$3+1))</f>
        <v>377867.49355747399</v>
      </c>
      <c r="N45" s="17">
        <f>(F45*SUM(Costs!$F$4,Costs!$F$5)+G45*SUM(Costs!$F$4,Costs!$F$5,$W54)+H45*Costs!$F$7+I45*Costs!$F$7+J45*Costs!$F$7) /($Q$9^(A45-$A$3+1))</f>
        <v>311344415.75578415</v>
      </c>
      <c r="O45" s="17">
        <f>(F45*SUM(Costs!$F$4,Costs!$F$5)+G45*SUM(Costs!$F$4,Costs!$F$5,$W55)+H45*Costs!$F$7+I45*Costs!$F$7+J45*Costs!$F$7) /($Q$9^(A45-$A$3+1))</f>
        <v>331911367.58358651</v>
      </c>
      <c r="Q45" s="32">
        <f>M$3-M45</f>
        <v>6568.1188853280037</v>
      </c>
      <c r="R45" s="27">
        <f>B$3-B45</f>
        <v>2919.1383508697036</v>
      </c>
      <c r="S45" s="27">
        <f>D$3-D45</f>
        <v>4706.06886169879</v>
      </c>
      <c r="T45" s="27"/>
      <c r="U45" s="33"/>
    </row>
    <row r="46" spans="1:26" x14ac:dyDescent="0.25">
      <c r="A46" s="14">
        <v>2020</v>
      </c>
      <c r="B46" s="15">
        <v>217463.75973984879</v>
      </c>
      <c r="C46" s="16">
        <v>52846.338656711399</v>
      </c>
      <c r="D46" s="16">
        <v>86197.198962174938</v>
      </c>
      <c r="E46" s="16">
        <v>173369.8893047267</v>
      </c>
      <c r="F46" s="16">
        <v>1042541.4465367359</v>
      </c>
      <c r="G46" s="16">
        <v>107976.0586086588</v>
      </c>
      <c r="H46" s="16">
        <v>149283.56760261464</v>
      </c>
      <c r="I46" s="16">
        <v>79581.413250846876</v>
      </c>
      <c r="J46" s="16">
        <v>49881.04823325295</v>
      </c>
      <c r="K46" s="17">
        <f>SUM(B45:B46)</f>
        <v>432659.24254042562</v>
      </c>
      <c r="L46" s="17">
        <f t="shared" si="11"/>
        <v>606029.13184515235</v>
      </c>
      <c r="M46" s="17">
        <f t="shared" si="12"/>
        <v>571240.58049312129</v>
      </c>
      <c r="N46" s="17">
        <f>(F46*SUM(Costs!$F$4,Costs!$F$5)+G46*SUM(Costs!$F$4,Costs!$F$5,$W54)+H46*Costs!$F$7+I46*Costs!$F$7+J46*Costs!$F$7) /($Q$9^(A46-$A$3+1))</f>
        <v>305204417.01155496</v>
      </c>
      <c r="O46" s="17">
        <f>(F46*SUM(Costs!$F$4,Costs!$F$5)+G46*SUM(Costs!$F$4,Costs!$F$5,$W55)+H46*Costs!$F$7+I46*Costs!$F$7+J46*Costs!$F$7) /($Q$9^(A46-$A$3+1))</f>
        <v>324688372.07723457</v>
      </c>
      <c r="Q46" s="32">
        <f>M$4-M46</f>
        <v>9066.3345205772202</v>
      </c>
      <c r="R46" s="27">
        <f>B$4-B46</f>
        <v>2853.3325143333059</v>
      </c>
      <c r="S46" s="27">
        <f>D$4-D46</f>
        <v>4830.2134913133923</v>
      </c>
      <c r="T46" s="27"/>
      <c r="U46" s="33"/>
    </row>
    <row r="47" spans="1:26" x14ac:dyDescent="0.25">
      <c r="A47" s="14">
        <v>2021</v>
      </c>
      <c r="B47" s="15">
        <v>220568.82544541502</v>
      </c>
      <c r="C47" s="16">
        <v>52803.886753838393</v>
      </c>
      <c r="D47" s="16">
        <v>86292.869208042845</v>
      </c>
      <c r="E47" s="16">
        <v>173527.78728266273</v>
      </c>
      <c r="F47" s="16">
        <v>1055837.9130818069</v>
      </c>
      <c r="G47" s="16">
        <v>104550.66167838129</v>
      </c>
      <c r="H47" s="16">
        <v>152152.17496823458</v>
      </c>
      <c r="I47" s="16">
        <v>79531.587744101882</v>
      </c>
      <c r="J47" s="16">
        <v>49033.469070619511</v>
      </c>
      <c r="K47" s="17">
        <f>SUM(B45:B47)</f>
        <v>653228.06798584061</v>
      </c>
      <c r="L47" s="17">
        <f t="shared" si="11"/>
        <v>826755.85526850331</v>
      </c>
      <c r="M47" s="17">
        <f t="shared" si="12"/>
        <v>756598.72527035873</v>
      </c>
      <c r="N47" s="17">
        <f>(F47*SUM(Costs!$F$4,Costs!$F$5)+G47*SUM(Costs!$F$4,Costs!$F$5,$W54)+H47*Costs!$F$7+I47*Costs!$F$7+J47*Costs!$F$7) /($Q$9^(A47-$A$3+1))</f>
        <v>298324086.43002295</v>
      </c>
      <c r="O47" s="17">
        <f>(F47*SUM(Costs!$F$4,Costs!$F$5)+G47*SUM(Costs!$F$4,Costs!$F$5,$W55)+H47*Costs!$F$7+I47*Costs!$F$7+J47*Costs!$F$7) /($Q$9^(A47-$A$3+1))</f>
        <v>316640448.07139403</v>
      </c>
      <c r="Q47" s="32">
        <f>M$5-M47</f>
        <v>11346.785601333599</v>
      </c>
      <c r="R47" s="27">
        <f>B$5-B47</f>
        <v>2773.6817199598299</v>
      </c>
      <c r="S47" s="27">
        <f>D$5-D47</f>
        <v>4915.7609350971616</v>
      </c>
      <c r="T47" s="27"/>
      <c r="U47" s="33"/>
    </row>
    <row r="48" spans="1:26" x14ac:dyDescent="0.25">
      <c r="A48" s="14">
        <v>2022</v>
      </c>
      <c r="B48" s="15">
        <v>223396.28037464677</v>
      </c>
      <c r="C48" s="16">
        <v>52396.1238106245</v>
      </c>
      <c r="D48" s="16">
        <v>85910.867058954522</v>
      </c>
      <c r="E48" s="16">
        <v>173201.02646917995</v>
      </c>
      <c r="F48" s="16">
        <v>1071529.4740415351</v>
      </c>
      <c r="G48" s="16">
        <v>101457.90388752503</v>
      </c>
      <c r="H48" s="16">
        <v>152733.37970962503</v>
      </c>
      <c r="I48" s="16">
        <v>78515.84960582653</v>
      </c>
      <c r="J48" s="16">
        <v>47607.134404250239</v>
      </c>
      <c r="K48" s="17">
        <f>SUM(B45:B48)</f>
        <v>876624.34836048738</v>
      </c>
      <c r="L48" s="17">
        <f t="shared" si="11"/>
        <v>1049825.3748296674</v>
      </c>
      <c r="M48" s="17">
        <f t="shared" si="12"/>
        <v>932756.24810939282</v>
      </c>
      <c r="N48" s="17">
        <f>(F48*SUM(Costs!$F$4,Costs!$F$5)+G48*SUM(Costs!$F$4,Costs!$F$5,$W54)+H48*Costs!$F$7+I48*Costs!$F$7+J48*Costs!$F$7) /($Q$9^(A48-$A$3+1))</f>
        <v>291655809.23118371</v>
      </c>
      <c r="O48" s="17">
        <f>(F48*SUM(Costs!$F$4,Costs!$F$5)+G48*SUM(Costs!$F$4,Costs!$F$5,$W55)+H48*Costs!$F$7+I48*Costs!$F$7+J48*Costs!$F$7) /($Q$9^(A48-$A$3+1))</f>
        <v>308912641.77706611</v>
      </c>
      <c r="Q48" s="32">
        <f>M$6-M48</f>
        <v>13465.674229547498</v>
      </c>
      <c r="R48" s="27">
        <f>B$6-B48</f>
        <v>2705.6164149978431</v>
      </c>
      <c r="S48" s="27">
        <f>D$6-D48</f>
        <v>5062.5267344962049</v>
      </c>
      <c r="T48" s="27"/>
      <c r="U48" s="33"/>
      <c r="X48" s="47"/>
      <c r="Y48" s="34"/>
      <c r="Z48" s="34"/>
    </row>
    <row r="49" spans="1:26" x14ac:dyDescent="0.25">
      <c r="A49" s="14">
        <v>2023</v>
      </c>
      <c r="B49" s="15">
        <v>226295.37917389712</v>
      </c>
      <c r="C49" s="16">
        <v>51983.296596003362</v>
      </c>
      <c r="D49" s="16">
        <v>85526.46874917268</v>
      </c>
      <c r="E49" s="16">
        <v>172805.87677043444</v>
      </c>
      <c r="F49" s="16">
        <v>1086208.7255861438</v>
      </c>
      <c r="G49" s="16">
        <v>98361.931225415639</v>
      </c>
      <c r="H49" s="16">
        <v>153064.8906919967</v>
      </c>
      <c r="I49" s="16">
        <v>77522.662794035074</v>
      </c>
      <c r="J49" s="16">
        <v>46196.517583039771</v>
      </c>
      <c r="K49" s="17">
        <f>SUM(B45:B49)</f>
        <v>1102919.7275343845</v>
      </c>
      <c r="L49" s="17">
        <f t="shared" si="11"/>
        <v>1275725.6043048189</v>
      </c>
      <c r="M49" s="17">
        <f t="shared" si="12"/>
        <v>1100452.1127371329</v>
      </c>
      <c r="N49" s="17">
        <f>(F49*SUM(Costs!$F$4,Costs!$F$5)+G49*SUM(Costs!$F$4,Costs!$F$5,$W54)+H49*Costs!$F$7+I49*Costs!$F$7+J49*Costs!$F$7) /($Q$9^(A49-$A$3+1))</f>
        <v>284890443.46545672</v>
      </c>
      <c r="O49" s="17">
        <f>(F49*SUM(Costs!$F$4,Costs!$F$5)+G49*SUM(Costs!$F$4,Costs!$F$5,$W55)+H49*Costs!$F$7+I49*Costs!$F$7+J49*Costs!$F$7) /($Q$9^(A49-$A$3+1))</f>
        <v>301133397.73618603</v>
      </c>
      <c r="Q49" s="32">
        <f>M$7-M49</f>
        <v>15432.911686813226</v>
      </c>
      <c r="R49" s="27">
        <f>B$7-B49</f>
        <v>2644.8185658996808</v>
      </c>
      <c r="S49" s="27">
        <f>D$7-D49</f>
        <v>5251.5221095223824</v>
      </c>
      <c r="T49" s="27"/>
      <c r="U49" s="33"/>
      <c r="X49" s="47"/>
      <c r="Y49" s="34"/>
      <c r="Z49" s="34"/>
    </row>
    <row r="50" spans="1:26" x14ac:dyDescent="0.25">
      <c r="A50" s="14">
        <v>2024</v>
      </c>
      <c r="B50" s="15">
        <v>229255.50681201345</v>
      </c>
      <c r="C50" s="16">
        <v>51565.657588444505</v>
      </c>
      <c r="D50" s="16">
        <v>85162.412599687421</v>
      </c>
      <c r="E50" s="16">
        <v>172357.624017722</v>
      </c>
      <c r="F50" s="16">
        <v>1099930.6246248845</v>
      </c>
      <c r="G50" s="16">
        <v>95304.59652748995</v>
      </c>
      <c r="H50" s="16">
        <v>153142.47381889811</v>
      </c>
      <c r="I50" s="16">
        <v>76555.489904941511</v>
      </c>
      <c r="J50" s="16">
        <v>44813.558978695786</v>
      </c>
      <c r="K50" s="17">
        <f>SUM(B45:B50)</f>
        <v>1332175.2343463979</v>
      </c>
      <c r="L50" s="17">
        <f t="shared" si="11"/>
        <v>1504532.8583641199</v>
      </c>
      <c r="M50" s="17">
        <f t="shared" si="12"/>
        <v>1260022.582543209</v>
      </c>
      <c r="N50" s="17">
        <f>(F50*SUM(Costs!$F$4,Costs!$F$5)+G50*SUM(Costs!$F$4,Costs!$F$5,$W54)+H50*Costs!$F$7+I50*Costs!$F$7+J50*Costs!$F$7) /($Q$9^(A50-$A$3+1))</f>
        <v>278070553.82080925</v>
      </c>
      <c r="O50" s="17">
        <f>(F50*SUM(Costs!$F$4,Costs!$F$5)+G50*SUM(Costs!$F$4,Costs!$F$5,$W55)+H50*Costs!$F$7+I50*Costs!$F$7+J50*Costs!$F$7) /($Q$9^(A50-$A$3+1))</f>
        <v>293350245.71349114</v>
      </c>
      <c r="Q50" s="32">
        <f>M$8-M50</f>
        <v>17266.384068220621</v>
      </c>
      <c r="R50" s="27">
        <f>B$8-B50</f>
        <v>2593.9959975060483</v>
      </c>
      <c r="S50" s="27">
        <f>D$8-D50</f>
        <v>5472.4773072822281</v>
      </c>
      <c r="T50" s="27"/>
      <c r="U50" s="33"/>
      <c r="X50" s="47"/>
      <c r="Y50" s="34"/>
      <c r="Z50" s="34"/>
    </row>
    <row r="51" spans="1:26" x14ac:dyDescent="0.25">
      <c r="A51" s="14">
        <v>2025</v>
      </c>
      <c r="B51" s="15">
        <v>231899.05805334719</v>
      </c>
      <c r="C51" s="16">
        <v>50771.400559348935</v>
      </c>
      <c r="D51" s="16">
        <v>84305.429827465632</v>
      </c>
      <c r="E51" s="16">
        <v>171438.68303722347</v>
      </c>
      <c r="F51" s="16">
        <v>1116081.6412625536</v>
      </c>
      <c r="G51" s="16">
        <v>92581.318554720317</v>
      </c>
      <c r="H51" s="16">
        <v>150738.2012849607</v>
      </c>
      <c r="I51" s="16">
        <v>74606.103469664507</v>
      </c>
      <c r="J51" s="16">
        <v>42916.99952156793</v>
      </c>
      <c r="K51" s="17">
        <f>SUM(B45:B51)</f>
        <v>1564074.2923997452</v>
      </c>
      <c r="L51" s="17">
        <f t="shared" si="11"/>
        <v>1735512.9754369687</v>
      </c>
      <c r="M51" s="17">
        <f t="shared" si="12"/>
        <v>1411130.8681540457</v>
      </c>
      <c r="N51" s="17">
        <f>(F51*SUM(Costs!$F$4,Costs!$F$5)+G51*SUM(Costs!$F$4,Costs!$F$5,$W54)+H51*Costs!$F$7+I51*Costs!$F$7+J51*Costs!$F$7) /($Q$9^(A51-$A$3+1))</f>
        <v>271458929.63927996</v>
      </c>
      <c r="O51" s="17">
        <f>(F51*SUM(Costs!$F$4,Costs!$F$5)+G51*SUM(Costs!$F$4,Costs!$F$5,$W55)+H51*Costs!$F$7+I51*Costs!$F$7+J51*Costs!$F$7) /($Q$9^(A51-$A$3+1))</f>
        <v>285869689.69078821</v>
      </c>
      <c r="Q51" s="32">
        <f>M$9-M51</f>
        <v>18990.833147990284</v>
      </c>
      <c r="R51" s="27">
        <f>B$9-B51</f>
        <v>2559.6942670761782</v>
      </c>
      <c r="S51" s="27">
        <f>D$9-D51</f>
        <v>5723.0167257774447</v>
      </c>
      <c r="T51" s="27"/>
      <c r="U51" s="33"/>
    </row>
    <row r="52" spans="1:26" ht="13.8" thickBot="1" x14ac:dyDescent="0.3">
      <c r="A52" s="14">
        <v>2026</v>
      </c>
      <c r="B52" s="15">
        <v>234953.0086741235</v>
      </c>
      <c r="C52" s="16">
        <v>50332.790767535109</v>
      </c>
      <c r="D52" s="16">
        <v>83945.924019909959</v>
      </c>
      <c r="E52" s="16">
        <v>170859.79369240673</v>
      </c>
      <c r="F52" s="16">
        <v>1127716.7184221703</v>
      </c>
      <c r="G52" s="16">
        <v>89629.203261150251</v>
      </c>
      <c r="H52" s="16">
        <v>150303.47125169489</v>
      </c>
      <c r="I52" s="16">
        <v>73656.291537908473</v>
      </c>
      <c r="J52" s="16">
        <v>41594.676631894654</v>
      </c>
      <c r="K52" s="17">
        <f>SUM(B45:B52)</f>
        <v>1799027.3010738688</v>
      </c>
      <c r="L52" s="17">
        <f t="shared" si="11"/>
        <v>1969887.0947662755</v>
      </c>
      <c r="M52" s="17">
        <f t="shared" si="12"/>
        <v>1555047.0631643489</v>
      </c>
      <c r="N52" s="17">
        <f>(F52*SUM(Costs!$F$4,Costs!$F$5)+G52*SUM(Costs!$F$4,Costs!$F$5,$W54)+H52*Costs!$F$7+I52*Costs!$F$7+J52*Costs!$F$7) /($Q$9^(A52-$A$3+1))</f>
        <v>264538110.15367603</v>
      </c>
      <c r="O52" s="17">
        <f>(F52*SUM(Costs!$F$4,Costs!$F$5)+G52*SUM(Costs!$F$4,Costs!$F$5,$W55)+H52*Costs!$F$7+I52*Costs!$F$7+J52*Costs!$F$7) /($Q$9^(A52-$A$3+1))</f>
        <v>278083011.19250774</v>
      </c>
      <c r="Q52" s="32">
        <f>M$10-M52</f>
        <v>20608.46321914345</v>
      </c>
      <c r="R52" s="27">
        <f>B$10-B52</f>
        <v>2533.5861604490201</v>
      </c>
      <c r="S52" s="27">
        <f>D$10-D52</f>
        <v>5987.526241892323</v>
      </c>
      <c r="T52" s="27"/>
      <c r="U52" s="33"/>
    </row>
    <row r="53" spans="1:26" x14ac:dyDescent="0.25">
      <c r="A53" s="14">
        <v>2027</v>
      </c>
      <c r="B53" s="15">
        <v>238415.14640694149</v>
      </c>
      <c r="C53" s="16">
        <v>50253.749421665991</v>
      </c>
      <c r="D53" s="16">
        <v>84112.731508615499</v>
      </c>
      <c r="E53" s="16">
        <v>170630.07533178729</v>
      </c>
      <c r="F53" s="16">
        <v>1134876.0737815986</v>
      </c>
      <c r="G53" s="16">
        <v>86531.274177273488</v>
      </c>
      <c r="H53" s="16">
        <v>151949.78282783314</v>
      </c>
      <c r="I53" s="16">
        <v>73714.754362301755</v>
      </c>
      <c r="J53" s="16">
        <v>40820.498595186509</v>
      </c>
      <c r="K53" s="17">
        <f>SUM(B45:B53)</f>
        <v>2037442.4474808103</v>
      </c>
      <c r="L53" s="17">
        <f t="shared" si="11"/>
        <v>2208072.5228125975</v>
      </c>
      <c r="M53" s="17">
        <f t="shared" si="12"/>
        <v>1692303.7277117795</v>
      </c>
      <c r="N53" s="17">
        <f>(F53*SUM(Costs!$F$4,Costs!$F$5)+G53*SUM(Costs!$F$4,Costs!$F$5,$W54)+H53*Costs!$F$7+I53*Costs!$F$7+J53*Costs!$F$7) /($Q$9^(A53-$A$3+1))</f>
        <v>257385808.65307441</v>
      </c>
      <c r="O53" s="17">
        <f>(F53*SUM(Costs!$F$4,Costs!$F$5)+G53*SUM(Costs!$F$4,Costs!$F$5,$W55)+H53*Costs!$F$7+I53*Costs!$F$7+J53*Costs!$F$7) /($Q$9^(A53-$A$3+1))</f>
        <v>270081670.10982728</v>
      </c>
      <c r="Q53" s="32">
        <f>M$11-M53</f>
        <v>22135.926471290411</v>
      </c>
      <c r="R53" s="27">
        <f>B$11-B53</f>
        <v>2519.1773307605181</v>
      </c>
      <c r="S53" s="27">
        <f>D$11-D53</f>
        <v>6274.5138915541611</v>
      </c>
      <c r="T53" s="27"/>
      <c r="U53" s="33"/>
      <c r="W53" s="21" t="s">
        <v>25</v>
      </c>
      <c r="X53" s="48" t="s">
        <v>29</v>
      </c>
    </row>
    <row r="54" spans="1:26" ht="13.8" thickBot="1" x14ac:dyDescent="0.3">
      <c r="A54" s="23">
        <v>2028</v>
      </c>
      <c r="B54" s="24">
        <v>241550.38689598077</v>
      </c>
      <c r="C54" s="25">
        <v>49801.976288233389</v>
      </c>
      <c r="D54" s="25">
        <v>83809.917461218109</v>
      </c>
      <c r="E54" s="25">
        <v>169962.68990701469</v>
      </c>
      <c r="F54" s="25">
        <v>1144632.5629002606</v>
      </c>
      <c r="G54" s="25">
        <v>83849.130095211105</v>
      </c>
      <c r="H54" s="25">
        <v>151142.89470332637</v>
      </c>
      <c r="I54" s="25">
        <v>72792.887458517085</v>
      </c>
      <c r="J54" s="25">
        <v>39554.876856063536</v>
      </c>
      <c r="K54" s="26">
        <f>SUM(B45:B54)</f>
        <v>2278992.834376791</v>
      </c>
      <c r="L54" s="26">
        <f t="shared" si="11"/>
        <v>2448955.5242838059</v>
      </c>
      <c r="M54" s="26">
        <f t="shared" si="12"/>
        <v>1822252.9034722992</v>
      </c>
      <c r="N54" s="26">
        <f>(F54*SUM(Costs!$F$4,Costs!$F$5)+G54*SUM(Costs!$F$4,Costs!$F$5,$W54)+H54*Costs!$F$7+I54*Costs!$F$7+J54*Costs!$F$7) /($Q$9^(A54-$A$3+1))</f>
        <v>250530484.88318533</v>
      </c>
      <c r="O54" s="26">
        <f>(F54*SUM(Costs!$F$4,Costs!$F$5)+G54*SUM(Costs!$F$4,Costs!$F$5,$W55)+H54*Costs!$F$7+I54*Costs!$F$7+J54*Costs!$F$7) /($Q$9^(A54-$A$3+1))</f>
        <v>262474501.87038204</v>
      </c>
      <c r="Q54" s="35">
        <f>M$12-M54</f>
        <v>23593.059021377936</v>
      </c>
      <c r="R54" s="27">
        <f>B$12-B54</f>
        <v>2522.4417542477022</v>
      </c>
      <c r="S54" s="27">
        <f>D$12-D54</f>
        <v>6587.1018666626769</v>
      </c>
      <c r="T54" s="42"/>
      <c r="U54" s="36"/>
      <c r="W54" s="43">
        <v>118.87580141457873</v>
      </c>
      <c r="X54" s="49">
        <f>$Q$6</f>
        <v>500</v>
      </c>
      <c r="Y54" s="22" t="s">
        <v>74</v>
      </c>
      <c r="Z54" s="27"/>
    </row>
    <row r="55" spans="1:26" ht="13.8" thickBot="1" x14ac:dyDescent="0.3">
      <c r="A55" s="12" t="s">
        <v>0</v>
      </c>
      <c r="B55" s="6">
        <f t="shared" ref="B55:O55" si="13">SUM(B45:B54)</f>
        <v>2278992.834376791</v>
      </c>
      <c r="C55" s="6">
        <f t="shared" si="13"/>
        <v>516376.34893537988</v>
      </c>
      <c r="D55" s="6">
        <f t="shared" si="13"/>
        <v>852403.81811492192</v>
      </c>
      <c r="E55" s="6">
        <f t="shared" si="13"/>
        <v>1722161.4813767793</v>
      </c>
      <c r="F55" s="6">
        <f t="shared" si="13"/>
        <v>10901083.546404751</v>
      </c>
      <c r="G55" s="6">
        <f t="shared" si="13"/>
        <v>970900.13937139022</v>
      </c>
      <c r="H55" s="6">
        <f t="shared" si="13"/>
        <v>1514749.7750316407</v>
      </c>
      <c r="I55" s="6">
        <f t="shared" si="13"/>
        <v>768154.65670832421</v>
      </c>
      <c r="J55" s="6">
        <f t="shared" si="13"/>
        <v>454352.13766825164</v>
      </c>
      <c r="K55" s="6">
        <f t="shared" si="13"/>
        <v>12292338.978899328</v>
      </c>
      <c r="L55" s="6">
        <f t="shared" si="13"/>
        <v>14014500.460276108</v>
      </c>
      <c r="M55" s="6">
        <f t="shared" si="13"/>
        <v>11479672.305213161</v>
      </c>
      <c r="N55" s="6">
        <f t="shared" si="13"/>
        <v>2813403059.0440273</v>
      </c>
      <c r="O55" s="6">
        <f t="shared" si="13"/>
        <v>2973145345.8224635</v>
      </c>
      <c r="Q55" s="6">
        <f>SUM(Q45:Q54)</f>
        <v>158474.49085162225</v>
      </c>
      <c r="R55" s="37">
        <f>SUM(R45:R54)</f>
        <v>26625.48307609983</v>
      </c>
      <c r="S55" s="37">
        <f>SUM(S45:S54)</f>
        <v>54810.728165296765</v>
      </c>
      <c r="T55" s="18">
        <f>(N55-N$13)/Q55</f>
        <v>499.99999999999505</v>
      </c>
      <c r="U55" s="18">
        <f>(O55-O$13)/Q55</f>
        <v>1508.0000000000011</v>
      </c>
      <c r="W55" s="44">
        <v>310.31201603041666</v>
      </c>
      <c r="X55" s="50">
        <f>$Q$3</f>
        <v>1508</v>
      </c>
      <c r="Y55" s="22" t="s">
        <v>75</v>
      </c>
    </row>
    <row r="57" spans="1:26" ht="15" x14ac:dyDescent="0.4">
      <c r="B57" s="7" t="s">
        <v>59</v>
      </c>
      <c r="C57" s="8"/>
      <c r="D57" s="8"/>
      <c r="E57" s="8"/>
      <c r="F57" s="29"/>
      <c r="G57" s="8"/>
      <c r="H57" s="29"/>
      <c r="I57" s="29"/>
      <c r="J57" s="29"/>
      <c r="K57" s="8"/>
      <c r="L57" s="8"/>
      <c r="M57" s="8"/>
      <c r="N57" s="8"/>
      <c r="O57" s="30"/>
      <c r="Q57" s="7" t="s">
        <v>15</v>
      </c>
      <c r="R57" s="8"/>
      <c r="S57" s="8"/>
      <c r="T57" s="41"/>
      <c r="U57" s="31"/>
    </row>
    <row r="58" spans="1:26" ht="26.4" customHeight="1" x14ac:dyDescent="0.25">
      <c r="A58" s="9" t="s">
        <v>16</v>
      </c>
      <c r="B58" s="10" t="s">
        <v>3</v>
      </c>
      <c r="C58" s="11" t="s">
        <v>19</v>
      </c>
      <c r="D58" s="11" t="s">
        <v>4</v>
      </c>
      <c r="E58" s="11" t="s">
        <v>1</v>
      </c>
      <c r="F58" s="11" t="s">
        <v>10</v>
      </c>
      <c r="G58" s="11" t="s">
        <v>14</v>
      </c>
      <c r="H58" s="11" t="s">
        <v>13</v>
      </c>
      <c r="I58" s="11" t="s">
        <v>11</v>
      </c>
      <c r="J58" s="11" t="s">
        <v>12</v>
      </c>
      <c r="K58" s="11" t="s">
        <v>2</v>
      </c>
      <c r="L58" s="11" t="s">
        <v>17</v>
      </c>
      <c r="M58" s="11" t="s">
        <v>18</v>
      </c>
      <c r="N58" s="40" t="s">
        <v>27</v>
      </c>
      <c r="O58" s="40" t="s">
        <v>58</v>
      </c>
      <c r="Q58" s="10" t="s">
        <v>18</v>
      </c>
      <c r="R58" s="11" t="s">
        <v>3</v>
      </c>
      <c r="S58" s="11" t="s">
        <v>4</v>
      </c>
      <c r="T58" s="40" t="s">
        <v>28</v>
      </c>
      <c r="U58" s="40" t="s">
        <v>68</v>
      </c>
    </row>
    <row r="59" spans="1:26" x14ac:dyDescent="0.25">
      <c r="A59" s="14">
        <v>2019</v>
      </c>
      <c r="B59" s="15">
        <v>217614.99316265393</v>
      </c>
      <c r="C59" s="16">
        <v>56042.648926262722</v>
      </c>
      <c r="D59" s="16">
        <v>91270.810917194933</v>
      </c>
      <c r="E59" s="16">
        <v>177192.3353469361</v>
      </c>
      <c r="F59" s="16">
        <v>1040242.1508535915</v>
      </c>
      <c r="G59" s="16">
        <v>92686.530250397278</v>
      </c>
      <c r="H59" s="16">
        <v>150461.58482026949</v>
      </c>
      <c r="I59" s="16">
        <v>81697.426285687863</v>
      </c>
      <c r="J59" s="16">
        <v>51940.288490143903</v>
      </c>
      <c r="K59" s="17">
        <f>SUM(B59:B59)</f>
        <v>217614.99316265393</v>
      </c>
      <c r="L59" s="17">
        <f>SUM(E59,K59)</f>
        <v>394807.32850959001</v>
      </c>
      <c r="M59" s="17">
        <f t="shared" ref="M59:M68" si="14">L59/($Q$9^(A59-$A$3+1))</f>
        <v>383308.08593164076</v>
      </c>
      <c r="N59" s="17">
        <f>(F59*SUM(Costs!$F$4,Costs!$F$5)+G59*SUM(Costs!$F$4,Costs!$F$5,$W68)+H59*Costs!$F$7+I59*Costs!$F$7+J59*Costs!$F$7) /($Q$9^(A59-$A$3+1))</f>
        <v>300526799.73989034</v>
      </c>
      <c r="O59" s="17">
        <f>(F59*SUM(Costs!$F$4,Costs!$F$5)+G59*SUM(Costs!$F$4,Costs!$F$5,$W69)+H59*Costs!$F$7+I59*Costs!$F$7+J59*Costs!$F$7) /($Q$9^(A59-$A$3+1))</f>
        <v>303748031.89452744</v>
      </c>
      <c r="Q59" s="32">
        <f>M$3-M59</f>
        <v>1127.5265111612389</v>
      </c>
      <c r="R59" s="27">
        <f>B$3-B59</f>
        <v>499.62798879263573</v>
      </c>
      <c r="S59" s="27">
        <f>D$3-D59</f>
        <v>575.25666418414039</v>
      </c>
      <c r="T59" s="27"/>
      <c r="U59" s="33"/>
    </row>
    <row r="60" spans="1:26" x14ac:dyDescent="0.25">
      <c r="A60" s="14">
        <v>2020</v>
      </c>
      <c r="B60" s="15">
        <v>219839.28570142612</v>
      </c>
      <c r="C60" s="16">
        <v>55229.195827586504</v>
      </c>
      <c r="D60" s="16">
        <v>90433.62557603576</v>
      </c>
      <c r="E60" s="16">
        <v>176575.61220024611</v>
      </c>
      <c r="F60" s="16">
        <v>1061669.6035102112</v>
      </c>
      <c r="G60" s="16">
        <v>90659.360323212342</v>
      </c>
      <c r="H60" s="16">
        <v>149950.86921266091</v>
      </c>
      <c r="I60" s="16">
        <v>79652.288443511323</v>
      </c>
      <c r="J60" s="16">
        <v>49902.982530068461</v>
      </c>
      <c r="K60" s="17">
        <f>SUM(B59:B60)</f>
        <v>437454.27886408009</v>
      </c>
      <c r="L60" s="17">
        <f t="shared" ref="L60:L61" si="15">SUM(E60,K60)</f>
        <v>614029.89106432616</v>
      </c>
      <c r="M60" s="17">
        <f t="shared" si="14"/>
        <v>578782.0634030787</v>
      </c>
      <c r="N60" s="17">
        <f>(F60*SUM(Costs!$F$4,Costs!$F$5)+G60*SUM(Costs!$F$4,Costs!$F$5,$W68)+H60*Costs!$F$7+I60*Costs!$F$7+J60*Costs!$F$7) /($Q$9^(A60-$A$3+1))</f>
        <v>295317405.20968914</v>
      </c>
      <c r="O60" s="17">
        <f>(F60*SUM(Costs!$F$4,Costs!$F$5)+G60*SUM(Costs!$F$4,Costs!$F$5,$W69)+H60*Costs!$F$7+I60*Costs!$F$7+J60*Costs!$F$7) /($Q$9^(A60-$A$3+1))</f>
        <v>298376414.71741128</v>
      </c>
      <c r="Q60" s="32">
        <f>M$4-M60</f>
        <v>1524.8516106198076</v>
      </c>
      <c r="R60" s="27">
        <f>B$4-B60</f>
        <v>477.80655275596655</v>
      </c>
      <c r="S60" s="27">
        <f>D$4-D60</f>
        <v>593.78687745257048</v>
      </c>
      <c r="T60" s="27"/>
      <c r="U60" s="33"/>
    </row>
    <row r="61" spans="1:26" x14ac:dyDescent="0.25">
      <c r="A61" s="14">
        <v>2021</v>
      </c>
      <c r="B61" s="15">
        <v>222888.475095464</v>
      </c>
      <c r="C61" s="16">
        <v>55137.635672152086</v>
      </c>
      <c r="D61" s="16">
        <v>90598.305393525501</v>
      </c>
      <c r="E61" s="16">
        <v>176760.61714013582</v>
      </c>
      <c r="F61" s="16">
        <v>1075566.6025397077</v>
      </c>
      <c r="G61" s="16">
        <v>88021.242813181903</v>
      </c>
      <c r="H61" s="16">
        <v>153228.81617780557</v>
      </c>
      <c r="I61" s="16">
        <v>79677.748980741482</v>
      </c>
      <c r="J61" s="16">
        <v>49073.08039868794</v>
      </c>
      <c r="K61" s="17">
        <f>SUM(B59:B61)</f>
        <v>660342.75395954412</v>
      </c>
      <c r="L61" s="17">
        <f t="shared" si="15"/>
        <v>837103.37109967996</v>
      </c>
      <c r="M61" s="17">
        <f t="shared" si="14"/>
        <v>766068.16807828483</v>
      </c>
      <c r="N61" s="17">
        <f>(F61*SUM(Costs!$F$4,Costs!$F$5)+G61*SUM(Costs!$F$4,Costs!$F$5,$W68)+H61*Costs!$F$7+I61*Costs!$F$7+J61*Costs!$F$7) /($Q$9^(A61-$A$3+1))</f>
        <v>289416428.63412482</v>
      </c>
      <c r="O61" s="17">
        <f>(F61*SUM(Costs!$F$4,Costs!$F$5)+G61*SUM(Costs!$F$4,Costs!$F$5,$W69)+H61*Costs!$F$7+I61*Costs!$F$7+J61*Costs!$F$7) /($Q$9^(A61-$A$3+1))</f>
        <v>292299918.62321997</v>
      </c>
      <c r="Q61" s="32">
        <f>M$5-M61</f>
        <v>1877.3427934075007</v>
      </c>
      <c r="R61" s="27">
        <f>B$5-B61</f>
        <v>454.03206991084153</v>
      </c>
      <c r="S61" s="27">
        <f>D$5-D61</f>
        <v>610.32474961450498</v>
      </c>
      <c r="T61" s="27"/>
      <c r="U61" s="33"/>
      <c r="X61" s="74"/>
    </row>
    <row r="62" spans="1:26" x14ac:dyDescent="0.25">
      <c r="A62" s="14">
        <v>2022</v>
      </c>
      <c r="B62" s="15">
        <v>225668.41617218027</v>
      </c>
      <c r="C62" s="16">
        <v>54690.300753770207</v>
      </c>
      <c r="D62" s="16">
        <v>90341.301712512563</v>
      </c>
      <c r="E62" s="16">
        <v>176497.72738769365</v>
      </c>
      <c r="F62" s="16">
        <v>1092035.0499774239</v>
      </c>
      <c r="G62" s="16">
        <v>85681.784033643227</v>
      </c>
      <c r="H62" s="16">
        <v>154180.23372682658</v>
      </c>
      <c r="I62" s="16">
        <v>78762.922738071866</v>
      </c>
      <c r="J62" s="16">
        <v>47666.536365087406</v>
      </c>
      <c r="K62" s="17">
        <f>SUM(B59:B62)</f>
        <v>886011.17013172433</v>
      </c>
      <c r="L62" s="17">
        <f>SUM(E62,K62)</f>
        <v>1062508.897519418</v>
      </c>
      <c r="M62" s="17">
        <f t="shared" si="14"/>
        <v>944025.393741181</v>
      </c>
      <c r="N62" s="17">
        <f>(F62*SUM(Costs!$F$4,Costs!$F$5)+G62*SUM(Costs!$F$4,Costs!$F$5,$W68)+H62*Costs!$F$7+I62*Costs!$F$7+J62*Costs!$F$7) /($Q$9^(A62-$A$3+1))</f>
        <v>283676857.06386453</v>
      </c>
      <c r="O62" s="17">
        <f>(F62*SUM(Costs!$F$4,Costs!$F$5)+G62*SUM(Costs!$F$4,Costs!$F$5,$W69)+H62*Costs!$F$7+I62*Costs!$F$7+J62*Costs!$F$7) /($Q$9^(A62-$A$3+1))</f>
        <v>286401955.70778096</v>
      </c>
      <c r="Q62" s="32">
        <f>M$6-M62</f>
        <v>2196.5285977593157</v>
      </c>
      <c r="R62" s="27">
        <f>B$6-B62</f>
        <v>433.48061746434541</v>
      </c>
      <c r="S62" s="27">
        <f>D$6-D62</f>
        <v>632.09208093816414</v>
      </c>
      <c r="T62" s="27"/>
      <c r="U62" s="33"/>
      <c r="X62" s="74"/>
      <c r="Y62" s="34"/>
      <c r="Z62" s="34"/>
    </row>
    <row r="63" spans="1:26" x14ac:dyDescent="0.25">
      <c r="A63" s="14">
        <v>2023</v>
      </c>
      <c r="B63" s="15">
        <v>228525.01273730336</v>
      </c>
      <c r="C63" s="16">
        <v>54243.873694089903</v>
      </c>
      <c r="D63" s="16">
        <v>90121.358072504154</v>
      </c>
      <c r="E63" s="16">
        <v>176199.48465322112</v>
      </c>
      <c r="F63" s="16">
        <v>1107628.7041943285</v>
      </c>
      <c r="G63" s="16">
        <v>83366.253277350042</v>
      </c>
      <c r="H63" s="16">
        <v>154858.47033316028</v>
      </c>
      <c r="I63" s="16">
        <v>77899.86736271398</v>
      </c>
      <c r="J63" s="16">
        <v>46280.098847574598</v>
      </c>
      <c r="K63" s="17">
        <f>SUM(B59:B63)</f>
        <v>1114536.1828690276</v>
      </c>
      <c r="L63" s="17">
        <f t="shared" ref="L63:L68" si="16">SUM(E63,K63)</f>
        <v>1290735.6675222488</v>
      </c>
      <c r="M63" s="17">
        <f t="shared" si="14"/>
        <v>1113399.9251226496</v>
      </c>
      <c r="N63" s="17">
        <f>(F63*SUM(Costs!$F$4,Costs!$F$5)+G63*SUM(Costs!$F$4,Costs!$F$5,$W68)+H63*Costs!$F$7+I63*Costs!$F$7+J63*Costs!$F$7) /($Q$9^(A63-$A$3+1))</f>
        <v>277828795.51569152</v>
      </c>
      <c r="O63" s="17">
        <f>(F63*SUM(Costs!$F$4,Costs!$F$5)+G63*SUM(Costs!$F$4,Costs!$F$5,$W69)+H63*Costs!$F$7+I63*Costs!$F$7+J63*Costs!$F$7) /($Q$9^(A63-$A$3+1))</f>
        <v>280403022.18743813</v>
      </c>
      <c r="Q63" s="32">
        <f>M$7-M63</f>
        <v>2485.0993012965191</v>
      </c>
      <c r="R63" s="27">
        <f>B$7-B63</f>
        <v>415.18500249343924</v>
      </c>
      <c r="S63" s="27">
        <f>D$7-D63</f>
        <v>656.63278619090852</v>
      </c>
      <c r="T63" s="27"/>
      <c r="U63" s="33"/>
      <c r="X63" s="74"/>
      <c r="Y63" s="34"/>
      <c r="Z63" s="34"/>
    </row>
    <row r="64" spans="1:26" x14ac:dyDescent="0.25">
      <c r="A64" s="14">
        <v>2024</v>
      </c>
      <c r="B64" s="15">
        <v>231450.07270890559</v>
      </c>
      <c r="C64" s="16">
        <v>53800.854751701663</v>
      </c>
      <c r="D64" s="16">
        <v>89951.331924812577</v>
      </c>
      <c r="E64" s="16">
        <v>175883.30022262438</v>
      </c>
      <c r="F64" s="16">
        <v>1122428.6013325925</v>
      </c>
      <c r="G64" s="16">
        <v>81113.714486431869</v>
      </c>
      <c r="H64" s="16">
        <v>155262.54109192555</v>
      </c>
      <c r="I64" s="16">
        <v>77089.073235302625</v>
      </c>
      <c r="J64" s="16">
        <v>44926.747722866363</v>
      </c>
      <c r="K64" s="17">
        <f>SUM(B59:B64)</f>
        <v>1345986.2555779333</v>
      </c>
      <c r="L64" s="17">
        <f t="shared" si="16"/>
        <v>1521869.5558005576</v>
      </c>
      <c r="M64" s="17">
        <f t="shared" si="14"/>
        <v>1274541.7937091133</v>
      </c>
      <c r="N64" s="17">
        <f>(F64*SUM(Costs!$F$4,Costs!$F$5)+G64*SUM(Costs!$F$4,Costs!$F$5,$W68)+H64*Costs!$F$7+I64*Costs!$F$7+J64*Costs!$F$7) /($Q$9^(A64-$A$3+1))</f>
        <v>271914855.91400492</v>
      </c>
      <c r="O64" s="17">
        <f>(F64*SUM(Costs!$F$4,Costs!$F$5)+G64*SUM(Costs!$F$4,Costs!$F$5,$W69)+H64*Costs!$F$7+I64*Costs!$F$7+J64*Costs!$F$7) /($Q$9^(A64-$A$3+1))</f>
        <v>274346575.91741973</v>
      </c>
      <c r="Q64" s="32">
        <f>M$8-M64</f>
        <v>2747.1729023163207</v>
      </c>
      <c r="R64" s="27">
        <f>B$8-B64</f>
        <v>399.43010061391396</v>
      </c>
      <c r="S64" s="27">
        <f>D$8-D64</f>
        <v>683.55798215707182</v>
      </c>
      <c r="T64" s="27"/>
      <c r="U64" s="33"/>
      <c r="X64" s="74"/>
      <c r="Y64" s="34"/>
      <c r="Z64" s="34"/>
    </row>
    <row r="65" spans="1:26" x14ac:dyDescent="0.25">
      <c r="A65" s="14">
        <v>2025</v>
      </c>
      <c r="B65" s="15">
        <v>234071.32617544613</v>
      </c>
      <c r="C65" s="16">
        <v>52994.649654866014</v>
      </c>
      <c r="D65" s="16">
        <v>89315.062907128755</v>
      </c>
      <c r="E65" s="16">
        <v>175136.41356404262</v>
      </c>
      <c r="F65" s="16">
        <v>1139911.1792077271</v>
      </c>
      <c r="G65" s="16">
        <v>79173.810683633565</v>
      </c>
      <c r="H65" s="16">
        <v>153155.84690010585</v>
      </c>
      <c r="I65" s="16">
        <v>75307.142116260351</v>
      </c>
      <c r="J65" s="16">
        <v>43063.320069503621</v>
      </c>
      <c r="K65" s="17">
        <f>SUM(B59:B65)</f>
        <v>1580057.5817533794</v>
      </c>
      <c r="L65" s="17">
        <f t="shared" si="16"/>
        <v>1755193.9953174221</v>
      </c>
      <c r="M65" s="17">
        <f t="shared" si="14"/>
        <v>1427133.338353422</v>
      </c>
      <c r="N65" s="17">
        <f>(F65*SUM(Costs!$F$4,Costs!$F$5)+G65*SUM(Costs!$F$4,Costs!$F$5,$W68)+H65*Costs!$F$7+I65*Costs!$F$7+J65*Costs!$F$7) /($Q$9^(A65-$A$3+1))</f>
        <v>266177282.38422543</v>
      </c>
      <c r="O65" s="17">
        <f>(F65*SUM(Costs!$F$4,Costs!$F$5)+G65*SUM(Costs!$F$4,Costs!$F$5,$W69)+H65*Costs!$F$7+I65*Costs!$F$7+J65*Costs!$F$7) /($Q$9^(A65-$A$3+1))</f>
        <v>268481712.81272352</v>
      </c>
      <c r="Q65" s="32">
        <f>M$9-M65</f>
        <v>2988.3629486139398</v>
      </c>
      <c r="R65" s="27">
        <f>B$9-B65</f>
        <v>387.42614497724571</v>
      </c>
      <c r="S65" s="27">
        <f>D$9-D65</f>
        <v>713.38364611432189</v>
      </c>
      <c r="T65" s="27"/>
      <c r="U65" s="33"/>
    </row>
    <row r="66" spans="1:26" ht="13.8" thickBot="1" x14ac:dyDescent="0.3">
      <c r="A66" s="14">
        <v>2026</v>
      </c>
      <c r="B66" s="15">
        <v>237109.44163433355</v>
      </c>
      <c r="C66" s="16">
        <v>52551.127867532647</v>
      </c>
      <c r="D66" s="16">
        <v>89188.513157287234</v>
      </c>
      <c r="E66" s="16">
        <v>174760.92825633957</v>
      </c>
      <c r="F66" s="16">
        <v>1153002.1965919877</v>
      </c>
      <c r="G66" s="16">
        <v>77062.027482199483</v>
      </c>
      <c r="H66" s="16">
        <v>153026.08257090396</v>
      </c>
      <c r="I66" s="16">
        <v>74550.671593321618</v>
      </c>
      <c r="J66" s="16">
        <v>41784.54595209613</v>
      </c>
      <c r="K66" s="17">
        <f>SUM(B59:B66)</f>
        <v>1817167.0233877129</v>
      </c>
      <c r="L66" s="17">
        <f t="shared" si="16"/>
        <v>1991927.9516440525</v>
      </c>
      <c r="M66" s="17">
        <f t="shared" si="14"/>
        <v>1572446.3191158581</v>
      </c>
      <c r="N66" s="17">
        <f>(F66*SUM(Costs!$F$4,Costs!$F$5)+G66*SUM(Costs!$F$4,Costs!$F$5,$W68)+H66*Costs!$F$7+I66*Costs!$F$7+J66*Costs!$F$7) /($Q$9^(A66-$A$3+1))</f>
        <v>260142249.62673897</v>
      </c>
      <c r="O66" s="17">
        <f>(F66*SUM(Costs!$F$4,Costs!$F$5)+G66*SUM(Costs!$F$4,Costs!$F$5,$W69)+H66*Costs!$F$7+I66*Costs!$F$7+J66*Costs!$F$7) /($Q$9^(A66-$A$3+1))</f>
        <v>262319885.48446643</v>
      </c>
      <c r="Q66" s="32">
        <f>M$10-M66</f>
        <v>3209.2072676343378</v>
      </c>
      <c r="R66" s="27">
        <f>B$10-B66</f>
        <v>377.1532002389722</v>
      </c>
      <c r="S66" s="27">
        <f>D$10-D66</f>
        <v>744.93710451504739</v>
      </c>
      <c r="T66" s="27"/>
      <c r="U66" s="33"/>
    </row>
    <row r="67" spans="1:26" x14ac:dyDescent="0.25">
      <c r="A67" s="14">
        <v>2027</v>
      </c>
      <c r="B67" s="15">
        <v>240565.31048004419</v>
      </c>
      <c r="C67" s="16">
        <v>52477.257946967271</v>
      </c>
      <c r="D67" s="16">
        <v>89607.845992684321</v>
      </c>
      <c r="E67" s="16">
        <v>174769.52045300498</v>
      </c>
      <c r="F67" s="16">
        <v>1161748.619781303</v>
      </c>
      <c r="G67" s="16">
        <v>74842.969142547678</v>
      </c>
      <c r="H67" s="16">
        <v>154996.03471758196</v>
      </c>
      <c r="I67" s="16">
        <v>74831.768395133447</v>
      </c>
      <c r="J67" s="16">
        <v>41067.065269805578</v>
      </c>
      <c r="K67" s="17">
        <f>SUM(B59:B67)</f>
        <v>2057732.3338677571</v>
      </c>
      <c r="L67" s="17">
        <f t="shared" si="16"/>
        <v>2232501.8543207622</v>
      </c>
      <c r="M67" s="17">
        <f t="shared" si="14"/>
        <v>1711026.7761396065</v>
      </c>
      <c r="N67" s="17">
        <f>(F67*SUM(Costs!$F$4,Costs!$F$5)+G67*SUM(Costs!$F$4,Costs!$F$5,$W68)+H67*Costs!$F$7+I67*Costs!$F$7+J67*Costs!$F$7) /($Q$9^(A67-$A$3+1))</f>
        <v>253877789.18947533</v>
      </c>
      <c r="O67" s="17">
        <f>(F67*SUM(Costs!$F$4,Costs!$F$5)+G67*SUM(Costs!$F$4,Costs!$F$5,$W69)+H67*Costs!$F$7+I67*Costs!$F$7+J67*Costs!$F$7) /($Q$9^(A67-$A$3+1))</f>
        <v>255931118.52460784</v>
      </c>
      <c r="Q67" s="32">
        <f>M$11-M67</f>
        <v>3412.8780434634537</v>
      </c>
      <c r="R67" s="27">
        <f>B$11-B67</f>
        <v>369.01325765781803</v>
      </c>
      <c r="S67" s="27">
        <f>D$11-D67</f>
        <v>779.39940748533991</v>
      </c>
      <c r="T67" s="27"/>
      <c r="U67" s="33"/>
      <c r="W67" s="21" t="s">
        <v>25</v>
      </c>
      <c r="X67" s="48" t="s">
        <v>29</v>
      </c>
    </row>
    <row r="68" spans="1:26" ht="13.8" thickBot="1" x14ac:dyDescent="0.3">
      <c r="A68" s="23">
        <v>2028</v>
      </c>
      <c r="B68" s="24">
        <v>243708.26781179255</v>
      </c>
      <c r="C68" s="25">
        <v>52045.135344601076</v>
      </c>
      <c r="D68" s="25">
        <v>89579.706206082963</v>
      </c>
      <c r="E68" s="25">
        <v>174378.29774474126</v>
      </c>
      <c r="F68" s="25">
        <v>1173398.4848477205</v>
      </c>
      <c r="G68" s="25">
        <v>72997.504332603377</v>
      </c>
      <c r="H68" s="25">
        <v>154491.21757599121</v>
      </c>
      <c r="I68" s="25">
        <v>74124.941734157401</v>
      </c>
      <c r="J68" s="25">
        <v>39862.440853146501</v>
      </c>
      <c r="K68" s="26">
        <f>SUM(B59:B68)</f>
        <v>2301440.6016795496</v>
      </c>
      <c r="L68" s="26">
        <f t="shared" si="16"/>
        <v>2475818.8994242908</v>
      </c>
      <c r="M68" s="26">
        <f t="shared" si="14"/>
        <v>1842241.7774479219</v>
      </c>
      <c r="N68" s="26">
        <f>(F68*SUM(Costs!$F$4,Costs!$F$5)+G68*SUM(Costs!$F$4,Costs!$F$5,$W68)+H68*Costs!$F$7+I68*Costs!$F$7+J68*Costs!$F$7) /($Q$9^(A68-$A$3+1))</f>
        <v>247873927.85152614</v>
      </c>
      <c r="O68" s="26">
        <f>(F68*SUM(Costs!$F$4,Costs!$F$5)+G68*SUM(Costs!$F$4,Costs!$F$5,$W69)+H68*Costs!$F$7+I68*Costs!$F$7+J68*Costs!$F$7) /($Q$9^(A68-$A$3+1))</f>
        <v>249818295.52183998</v>
      </c>
      <c r="Q68" s="35">
        <f>M$12-M68</f>
        <v>3604.1850457552355</v>
      </c>
      <c r="R68" s="27">
        <f>B$12-B68</f>
        <v>364.56083843592205</v>
      </c>
      <c r="S68" s="27">
        <f>D$12-D68</f>
        <v>817.31312179782253</v>
      </c>
      <c r="T68" s="42"/>
      <c r="U68" s="36"/>
      <c r="W68" s="43">
        <v>19.933162474436379</v>
      </c>
      <c r="X68" s="49">
        <f>$Q$6</f>
        <v>500</v>
      </c>
      <c r="Y68" s="22" t="s">
        <v>72</v>
      </c>
      <c r="Z68" s="27"/>
    </row>
    <row r="69" spans="1:26" ht="13.8" thickBot="1" x14ac:dyDescent="0.3">
      <c r="A69" s="12" t="s">
        <v>0</v>
      </c>
      <c r="B69" s="6">
        <f t="shared" ref="B69" si="17">SUM(B59:B68)</f>
        <v>2301440.6016795496</v>
      </c>
      <c r="C69" s="6">
        <f>SUM(C59:C68)</f>
        <v>539212.68043953006</v>
      </c>
      <c r="D69" s="6">
        <f t="shared" ref="D69:O69" si="18">SUM(D59:D68)</f>
        <v>900407.86185976875</v>
      </c>
      <c r="E69" s="6">
        <f t="shared" si="18"/>
        <v>1758154.2369689858</v>
      </c>
      <c r="F69" s="6">
        <f t="shared" si="18"/>
        <v>11127631.192836594</v>
      </c>
      <c r="G69" s="6">
        <f t="shared" si="18"/>
        <v>825605.19682520081</v>
      </c>
      <c r="H69" s="6">
        <f t="shared" si="18"/>
        <v>1533611.6971272314</v>
      </c>
      <c r="I69" s="6">
        <f t="shared" si="18"/>
        <v>773593.85088490194</v>
      </c>
      <c r="J69" s="6">
        <f t="shared" si="18"/>
        <v>455567.10649898043</v>
      </c>
      <c r="K69" s="6">
        <f t="shared" si="18"/>
        <v>12418343.175253361</v>
      </c>
      <c r="L69" s="6">
        <f t="shared" si="18"/>
        <v>14176497.412222346</v>
      </c>
      <c r="M69" s="6">
        <f t="shared" si="18"/>
        <v>11612973.641042756</v>
      </c>
      <c r="N69" s="6">
        <f t="shared" si="18"/>
        <v>2746752391.1292315</v>
      </c>
      <c r="O69" s="6">
        <f t="shared" si="18"/>
        <v>2772126931.3914351</v>
      </c>
      <c r="Q69" s="6">
        <f>SUM(Q59:Q68)</f>
        <v>25173.155022027669</v>
      </c>
      <c r="R69" s="37">
        <f>SUM(R59:R68)</f>
        <v>4177.7157733411004</v>
      </c>
      <c r="S69" s="37">
        <f>SUM(S59:S68)</f>
        <v>6806.6844204498921</v>
      </c>
      <c r="T69" s="18">
        <f>(N69-N$13)/Q69</f>
        <v>500.0000000000249</v>
      </c>
      <c r="U69" s="18">
        <f>(O69-O$13)/Q69</f>
        <v>1508.0000000000171</v>
      </c>
      <c r="W69" s="44">
        <v>55.729832285171106</v>
      </c>
      <c r="X69" s="50">
        <f>$Q$3</f>
        <v>1508</v>
      </c>
      <c r="Y69" s="22" t="s">
        <v>73</v>
      </c>
    </row>
    <row r="71" spans="1:26" ht="15" x14ac:dyDescent="0.4">
      <c r="B71" s="7" t="s">
        <v>71</v>
      </c>
      <c r="C71" s="8"/>
      <c r="D71" s="8"/>
      <c r="E71" s="8"/>
      <c r="F71" s="29"/>
      <c r="G71" s="8"/>
      <c r="H71" s="29"/>
      <c r="I71" s="29"/>
      <c r="J71" s="29"/>
      <c r="K71" s="8"/>
      <c r="L71" s="8"/>
      <c r="M71" s="8"/>
      <c r="N71" s="8"/>
      <c r="O71" s="30"/>
      <c r="Q71" s="7" t="s">
        <v>15</v>
      </c>
      <c r="R71" s="8"/>
      <c r="S71" s="8"/>
      <c r="T71" s="41"/>
      <c r="U71" s="31"/>
    </row>
    <row r="72" spans="1:26" ht="26.4" customHeight="1" x14ac:dyDescent="0.25">
      <c r="A72" s="9" t="s">
        <v>16</v>
      </c>
      <c r="B72" s="10" t="s">
        <v>3</v>
      </c>
      <c r="C72" s="11" t="s">
        <v>19</v>
      </c>
      <c r="D72" s="11" t="s">
        <v>4</v>
      </c>
      <c r="E72" s="11" t="s">
        <v>1</v>
      </c>
      <c r="F72" s="11" t="s">
        <v>10</v>
      </c>
      <c r="G72" s="11" t="s">
        <v>14</v>
      </c>
      <c r="H72" s="11" t="s">
        <v>13</v>
      </c>
      <c r="I72" s="11" t="s">
        <v>11</v>
      </c>
      <c r="J72" s="11" t="s">
        <v>12</v>
      </c>
      <c r="K72" s="11" t="s">
        <v>2</v>
      </c>
      <c r="L72" s="11" t="s">
        <v>17</v>
      </c>
      <c r="M72" s="11" t="s">
        <v>18</v>
      </c>
      <c r="N72" s="40" t="s">
        <v>27</v>
      </c>
      <c r="O72" s="40" t="s">
        <v>58</v>
      </c>
      <c r="Q72" s="10" t="s">
        <v>18</v>
      </c>
      <c r="R72" s="11" t="s">
        <v>3</v>
      </c>
      <c r="S72" s="11" t="s">
        <v>4</v>
      </c>
      <c r="T72" s="40" t="s">
        <v>28</v>
      </c>
      <c r="U72" s="40" t="s">
        <v>68</v>
      </c>
    </row>
    <row r="73" spans="1:26" x14ac:dyDescent="0.25">
      <c r="A73" s="14">
        <v>2019</v>
      </c>
      <c r="B73" s="15">
        <v>217043.73072883356</v>
      </c>
      <c r="C73" s="16">
        <v>55470.899465447539</v>
      </c>
      <c r="D73" s="16">
        <v>90228.035059311718</v>
      </c>
      <c r="E73" s="16">
        <v>176440.14476749196</v>
      </c>
      <c r="F73" s="16">
        <v>1080673.0458305769</v>
      </c>
      <c r="G73" s="16">
        <v>52103.06570327888</v>
      </c>
      <c r="H73" s="16">
        <v>150403.97157363428</v>
      </c>
      <c r="I73" s="16">
        <v>81691.160191966585</v>
      </c>
      <c r="J73" s="16">
        <v>51938.151268138899</v>
      </c>
      <c r="K73" s="17">
        <f>SUM(B73:B73)</f>
        <v>217043.73072883356</v>
      </c>
      <c r="L73" s="17">
        <f>SUM(E73,K73)</f>
        <v>393483.87549632555</v>
      </c>
      <c r="M73" s="17">
        <f t="shared" ref="M73:M82" si="19">L73/($Q$9^(A73-$A$3+1))</f>
        <v>382023.18009351991</v>
      </c>
      <c r="N73" s="17">
        <f>(F73*SUM(Costs!$F$4,Costs!$F$5)+G73*SUM(Costs!$F$4,Costs!$F$5,$W82)+H73*Costs!$F$7+I73*Costs!$F$7+J73*Costs!$F$7) /($Q$9^(A73-$A$3+1))</f>
        <v>303250283.33615553</v>
      </c>
      <c r="O73" s="17">
        <f>(F73*SUM(Costs!$F$4,Costs!$F$5)+G73*SUM(Costs!$F$4,Costs!$F$5,$W83)+H73*Costs!$F$7+I73*Costs!$F$7+J73*Costs!$F$7) /($Q$9^(A73-$A$3+1))</f>
        <v>310679279.95058382</v>
      </c>
      <c r="Q73" s="32">
        <f>M$3-M73</f>
        <v>2412.432349282084</v>
      </c>
      <c r="R73" s="27">
        <f>B$3-B73</f>
        <v>1070.8904226130107</v>
      </c>
      <c r="S73" s="27">
        <f>D$3-D73</f>
        <v>1618.0325220673549</v>
      </c>
      <c r="T73" s="27"/>
      <c r="U73" s="33"/>
    </row>
    <row r="74" spans="1:26" x14ac:dyDescent="0.25">
      <c r="A74" s="14">
        <v>2020</v>
      </c>
      <c r="B74" s="15">
        <v>219275.7180843594</v>
      </c>
      <c r="C74" s="16">
        <v>54663.83542496209</v>
      </c>
      <c r="D74" s="16">
        <v>89352.844922411881</v>
      </c>
      <c r="E74" s="16">
        <v>175807.83522173527</v>
      </c>
      <c r="F74" s="16">
        <v>1100913.7025948027</v>
      </c>
      <c r="G74" s="16">
        <v>50907.317073351078</v>
      </c>
      <c r="H74" s="16">
        <v>149778.15768449008</v>
      </c>
      <c r="I74" s="16">
        <v>79629.739811387903</v>
      </c>
      <c r="J74" s="16">
        <v>49896.169688637099</v>
      </c>
      <c r="K74" s="17">
        <f>SUM(B73:B74)</f>
        <v>436319.44881319295</v>
      </c>
      <c r="L74" s="17">
        <f t="shared" ref="L74:L75" si="20">SUM(E74,K74)</f>
        <v>612127.28403492819</v>
      </c>
      <c r="M74" s="17">
        <f t="shared" si="19"/>
        <v>576988.67380047904</v>
      </c>
      <c r="N74" s="17">
        <f>(F74*SUM(Costs!$F$4,Costs!$F$5)+G74*SUM(Costs!$F$4,Costs!$F$5,$W82)+H74*Costs!$F$7+I74*Costs!$F$7+J74*Costs!$F$7) /($Q$9^(A74-$A$3+1))</f>
        <v>297800165.23111176</v>
      </c>
      <c r="O74" s="17">
        <f>(F74*SUM(Costs!$F$4,Costs!$F$5)+G74*SUM(Costs!$F$4,Costs!$F$5,$W83)+H74*Costs!$F$7+I74*Costs!$F$7+J74*Costs!$F$7) /($Q$9^(A74-$A$3+1))</f>
        <v>304847256.03426278</v>
      </c>
      <c r="Q74" s="32">
        <f>M$4-M74</f>
        <v>3318.2412132194731</v>
      </c>
      <c r="R74" s="27">
        <f>B$4-B74</f>
        <v>1041.374169822695</v>
      </c>
      <c r="S74" s="27">
        <f>D$4-D74</f>
        <v>1674.5675310764491</v>
      </c>
      <c r="T74" s="27"/>
      <c r="U74" s="33"/>
    </row>
    <row r="75" spans="1:26" x14ac:dyDescent="0.25">
      <c r="A75" s="14">
        <v>2021</v>
      </c>
      <c r="B75" s="15">
        <v>222335.43546662945</v>
      </c>
      <c r="C75" s="16">
        <v>54581.125754298919</v>
      </c>
      <c r="D75" s="16">
        <v>89480.058640534378</v>
      </c>
      <c r="E75" s="16">
        <v>175974.11283095076</v>
      </c>
      <c r="F75" s="16">
        <v>1113323.8246194085</v>
      </c>
      <c r="G75" s="16">
        <v>49362.012130141258</v>
      </c>
      <c r="H75" s="16">
        <v>152947.09087794804</v>
      </c>
      <c r="I75" s="16">
        <v>79631.70711009833</v>
      </c>
      <c r="J75" s="16">
        <v>49060.792508949875</v>
      </c>
      <c r="K75" s="17">
        <f>SUM(B73:B75)</f>
        <v>658654.88427982247</v>
      </c>
      <c r="L75" s="17">
        <f t="shared" si="20"/>
        <v>834628.99711077323</v>
      </c>
      <c r="M75" s="17">
        <f t="shared" si="19"/>
        <v>763803.76536021638</v>
      </c>
      <c r="N75" s="17">
        <f>(F75*SUM(Costs!$F$4,Costs!$F$5)+G75*SUM(Costs!$F$4,Costs!$F$5,$W82)+H75*Costs!$F$7+I75*Costs!$F$7+J75*Costs!$F$7) /($Q$9^(A75-$A$3+1))</f>
        <v>291643964.28664887</v>
      </c>
      <c r="O75" s="17">
        <f>(F75*SUM(Costs!$F$4,Costs!$F$5)+G75*SUM(Costs!$F$4,Costs!$F$5,$W83)+H75*Costs!$F$7+I75*Costs!$F$7+J75*Costs!$F$7) /($Q$9^(A75-$A$3+1))</f>
        <v>298278114.30225521</v>
      </c>
      <c r="Q75" s="32">
        <f>M$5-M75</f>
        <v>4141.7455114759505</v>
      </c>
      <c r="R75" s="27">
        <f>B$5-B75</f>
        <v>1007.0716987453925</v>
      </c>
      <c r="S75" s="27">
        <f>D$5-D75</f>
        <v>1728.5715026056278</v>
      </c>
      <c r="T75" s="27"/>
      <c r="U75" s="33"/>
    </row>
    <row r="76" spans="1:26" x14ac:dyDescent="0.25">
      <c r="A76" s="14">
        <v>2022</v>
      </c>
      <c r="B76" s="15">
        <v>225123.23764931006</v>
      </c>
      <c r="C76" s="16">
        <v>54139.672932661924</v>
      </c>
      <c r="D76" s="16">
        <v>89170.25220041594</v>
      </c>
      <c r="E76" s="16">
        <v>175681.72811851994</v>
      </c>
      <c r="F76" s="16">
        <v>1128394.4850857011</v>
      </c>
      <c r="G76" s="16">
        <v>47977.455911291545</v>
      </c>
      <c r="H76" s="16">
        <v>153796.01391846288</v>
      </c>
      <c r="I76" s="16">
        <v>78686.232908463484</v>
      </c>
      <c r="J76" s="16">
        <v>47648.065869844613</v>
      </c>
      <c r="K76" s="17">
        <f>SUM(B73:B76)</f>
        <v>883778.1219291325</v>
      </c>
      <c r="L76" s="17">
        <f>SUM(E76,K76)</f>
        <v>1059459.8500476524</v>
      </c>
      <c r="M76" s="17">
        <f t="shared" si="19"/>
        <v>941316.35455403721</v>
      </c>
      <c r="N76" s="17">
        <f>(F76*SUM(Costs!$F$4,Costs!$F$5)+G76*SUM(Costs!$F$4,Costs!$F$5,$W82)+H76*Costs!$F$7+I76*Costs!$F$7+J76*Costs!$F$7) /($Q$9^(A76-$A$3+1))</f>
        <v>285659242.94216973</v>
      </c>
      <c r="O76" s="17">
        <f>(F76*SUM(Costs!$F$4,Costs!$F$5)+G76*SUM(Costs!$F$4,Costs!$F$5,$W83)+H76*Costs!$F$7+I76*Costs!$F$7+J76*Costs!$F$7) /($Q$9^(A76-$A$3+1))</f>
        <v>291919503.70772582</v>
      </c>
      <c r="Q76" s="32">
        <f>M$6-M76</f>
        <v>4905.5677849031053</v>
      </c>
      <c r="R76" s="27">
        <f>B$6-B76</f>
        <v>978.65914033455192</v>
      </c>
      <c r="S76" s="27">
        <f>D$6-D76</f>
        <v>1803.1415930347866</v>
      </c>
      <c r="T76" s="27"/>
      <c r="U76" s="33"/>
      <c r="X76" s="47"/>
      <c r="Y76" s="34"/>
      <c r="Z76" s="34"/>
    </row>
    <row r="77" spans="1:26" x14ac:dyDescent="0.25">
      <c r="A77" s="14">
        <v>2023</v>
      </c>
      <c r="B77" s="15">
        <v>227985.66236113317</v>
      </c>
      <c r="C77" s="16">
        <v>53696.846978911977</v>
      </c>
      <c r="D77" s="16">
        <v>88888.293558010671</v>
      </c>
      <c r="E77" s="16">
        <v>175344.12386098175</v>
      </c>
      <c r="F77" s="16">
        <v>1142552.6805754767</v>
      </c>
      <c r="G77" s="16">
        <v>46600.3826429123</v>
      </c>
      <c r="H77" s="16">
        <v>154374.79109933029</v>
      </c>
      <c r="I77" s="16">
        <v>77784.608535371182</v>
      </c>
      <c r="J77" s="16">
        <v>46254.104228135919</v>
      </c>
      <c r="K77" s="17">
        <f>SUM(B73:B77)</f>
        <v>1111763.7842902658</v>
      </c>
      <c r="L77" s="17">
        <f t="shared" ref="L77:L82" si="21">SUM(E77,K77)</f>
        <v>1287107.9081512475</v>
      </c>
      <c r="M77" s="17">
        <f t="shared" si="19"/>
        <v>1110270.588021592</v>
      </c>
      <c r="N77" s="17">
        <f>(F77*SUM(Costs!$F$4,Costs!$F$5)+G77*SUM(Costs!$F$4,Costs!$F$5,$W82)+H77*Costs!$F$7+I77*Costs!$F$7+J77*Costs!$F$7) /($Q$9^(A77-$A$3+1))</f>
        <v>279566898.51854354</v>
      </c>
      <c r="O77" s="17">
        <f>(F77*SUM(Costs!$F$4,Costs!$F$5)+G77*SUM(Costs!$F$4,Costs!$F$5,$W83)+H77*Costs!$F$7+I77*Costs!$F$7+J77*Costs!$F$7) /($Q$9^(A77-$A$3+1))</f>
        <v>285470369.96180296</v>
      </c>
      <c r="Q77" s="32">
        <f>M$7-M77</f>
        <v>5614.4364023541566</v>
      </c>
      <c r="R77" s="27">
        <f>B$7-B77</f>
        <v>954.53537866362603</v>
      </c>
      <c r="S77" s="27">
        <f>D$7-D77</f>
        <v>1889.6973006843909</v>
      </c>
      <c r="T77" s="27"/>
      <c r="U77" s="33"/>
      <c r="X77" s="47"/>
      <c r="Y77" s="34"/>
      <c r="Z77" s="34"/>
    </row>
    <row r="78" spans="1:26" x14ac:dyDescent="0.25">
      <c r="A78" s="14">
        <v>2024</v>
      </c>
      <c r="B78" s="15">
        <v>230914.01047604415</v>
      </c>
      <c r="C78" s="16">
        <v>53254.683600799362</v>
      </c>
      <c r="D78" s="16">
        <v>88649.38964866563</v>
      </c>
      <c r="E78" s="16">
        <v>174978.34741005287</v>
      </c>
      <c r="F78" s="16">
        <v>1155890.523111809</v>
      </c>
      <c r="G78" s="16">
        <v>45253.371533233614</v>
      </c>
      <c r="H78" s="16">
        <v>154682.28074862086</v>
      </c>
      <c r="I78" s="16">
        <v>76928.394974393232</v>
      </c>
      <c r="J78" s="16">
        <v>44891.578415128883</v>
      </c>
      <c r="K78" s="17">
        <f>SUM(B73:B78)</f>
        <v>1342677.7947663099</v>
      </c>
      <c r="L78" s="17">
        <f t="shared" si="21"/>
        <v>1517656.1421763627</v>
      </c>
      <c r="M78" s="17">
        <f t="shared" si="19"/>
        <v>1271013.1261319537</v>
      </c>
      <c r="N78" s="17">
        <f>(F78*SUM(Costs!$F$4,Costs!$F$5)+G78*SUM(Costs!$F$4,Costs!$F$5,$W82)+H78*Costs!$F$7+I78*Costs!$F$7+J78*Costs!$F$7) /($Q$9^(A78-$A$3+1))</f>
        <v>273410113.96853131</v>
      </c>
      <c r="O78" s="17">
        <f>(F78*SUM(Costs!$F$4,Costs!$F$5)+G78*SUM(Costs!$F$4,Costs!$F$5,$W83)+H78*Costs!$F$7+I78*Costs!$F$7+J78*Costs!$F$7) /($Q$9^(A78-$A$3+1))</f>
        <v>278975966.56513089</v>
      </c>
      <c r="Q78" s="32">
        <f>M$8-M78</f>
        <v>6275.8404794759117</v>
      </c>
      <c r="R78" s="27">
        <f>B$8-B78</f>
        <v>935.49233347535483</v>
      </c>
      <c r="S78" s="27">
        <f>D$8-D78</f>
        <v>1985.5002583040186</v>
      </c>
      <c r="T78" s="27"/>
      <c r="U78" s="33"/>
      <c r="X78" s="47"/>
      <c r="Y78" s="34"/>
      <c r="Z78" s="34"/>
    </row>
    <row r="79" spans="1:26" x14ac:dyDescent="0.25">
      <c r="A79" s="14">
        <v>2025</v>
      </c>
      <c r="B79" s="15">
        <v>233534.92483861331</v>
      </c>
      <c r="C79" s="16">
        <v>52445.530352331793</v>
      </c>
      <c r="D79" s="16">
        <v>87937.958864042448</v>
      </c>
      <c r="E79" s="16">
        <v>174170.71953047276</v>
      </c>
      <c r="F79" s="16">
        <v>1171981.350182665</v>
      </c>
      <c r="G79" s="16">
        <v>44077.430714928727</v>
      </c>
      <c r="H79" s="16">
        <v>152485.3527263517</v>
      </c>
      <c r="I79" s="16">
        <v>75098.5627121453</v>
      </c>
      <c r="J79" s="16">
        <v>43017.799884075568</v>
      </c>
      <c r="K79" s="17">
        <f>SUM(B73:B79)</f>
        <v>1576212.7196049232</v>
      </c>
      <c r="L79" s="17">
        <f t="shared" si="21"/>
        <v>1750383.4391353959</v>
      </c>
      <c r="M79" s="17">
        <f t="shared" si="19"/>
        <v>1423221.9159569764</v>
      </c>
      <c r="N79" s="17">
        <f>(F79*SUM(Costs!$F$4,Costs!$F$5)+G79*SUM(Costs!$F$4,Costs!$F$5,$W82)+H79*Costs!$F$7+I79*Costs!$F$7+J79*Costs!$F$7) /($Q$9^(A79-$A$3+1))</f>
        <v>267436703.16132721</v>
      </c>
      <c r="O79" s="17">
        <f>(F79*SUM(Costs!$F$4,Costs!$F$5)+G79*SUM(Costs!$F$4,Costs!$F$5,$W83)+H79*Costs!$F$7+I79*Costs!$F$7+J79*Costs!$F$7) /($Q$9^(A79-$A$3+1))</f>
        <v>272700023.53621912</v>
      </c>
      <c r="Q79" s="32">
        <f>M$9-M79</f>
        <v>6899.7853450595867</v>
      </c>
      <c r="R79" s="27">
        <f>B$9-B79</f>
        <v>923.82748181006173</v>
      </c>
      <c r="S79" s="27">
        <f>D$9-D79</f>
        <v>2090.4876892006287</v>
      </c>
      <c r="T79" s="27"/>
      <c r="U79" s="33"/>
    </row>
    <row r="80" spans="1:26" ht="13.8" thickBot="1" x14ac:dyDescent="0.3">
      <c r="A80" s="14">
        <v>2026</v>
      </c>
      <c r="B80" s="15">
        <v>236570.54168041211</v>
      </c>
      <c r="C80" s="16">
        <v>51996.744220553846</v>
      </c>
      <c r="D80" s="16">
        <v>87732.352898025871</v>
      </c>
      <c r="E80" s="16">
        <v>173725.32102216029</v>
      </c>
      <c r="F80" s="16">
        <v>1183549.9353184639</v>
      </c>
      <c r="G80" s="16">
        <v>42803.996210579542</v>
      </c>
      <c r="H80" s="16">
        <v>152261.4081843438</v>
      </c>
      <c r="I80" s="16">
        <v>74287.390558436717</v>
      </c>
      <c r="J80" s="16">
        <v>41725.706439062509</v>
      </c>
      <c r="K80" s="17">
        <f>SUM(B73:B80)</f>
        <v>1812783.2612853353</v>
      </c>
      <c r="L80" s="17">
        <f t="shared" si="21"/>
        <v>1986508.5823074956</v>
      </c>
      <c r="M80" s="17">
        <f t="shared" si="19"/>
        <v>1568168.2189174222</v>
      </c>
      <c r="N80" s="17">
        <f>(F80*SUM(Costs!$F$4,Costs!$F$5)+G80*SUM(Costs!$F$4,Costs!$F$5,$W82)+H80*Costs!$F$7+I80*Costs!$F$7+J80*Costs!$F$7) /($Q$9^(A80-$A$3+1))</f>
        <v>261162046.70624173</v>
      </c>
      <c r="O80" s="17">
        <f>(F80*SUM(Costs!$F$4,Costs!$F$5)+G80*SUM(Costs!$F$4,Costs!$F$5,$W83)+H80*Costs!$F$7+I80*Costs!$F$7+J80*Costs!$F$7) /($Q$9^(A80-$A$3+1))</f>
        <v>266124433.66513097</v>
      </c>
      <c r="Q80" s="32">
        <f>M$10-M80</f>
        <v>7487.3074660701677</v>
      </c>
      <c r="R80" s="27">
        <f>B$10-B80</f>
        <v>916.05315416041412</v>
      </c>
      <c r="S80" s="27">
        <f>D$10-D80</f>
        <v>2201.0973637764109</v>
      </c>
      <c r="T80" s="27"/>
      <c r="U80" s="33"/>
    </row>
    <row r="81" spans="1:26" x14ac:dyDescent="0.25">
      <c r="A81" s="14">
        <v>2027</v>
      </c>
      <c r="B81" s="15">
        <v>240021.0058774566</v>
      </c>
      <c r="C81" s="16">
        <v>51914.558477523242</v>
      </c>
      <c r="D81" s="16">
        <v>88066.546713630654</v>
      </c>
      <c r="E81" s="16">
        <v>173653.93445272816</v>
      </c>
      <c r="F81" s="16">
        <v>1190673.715025103</v>
      </c>
      <c r="G81" s="16">
        <v>41470.338619781003</v>
      </c>
      <c r="H81" s="16">
        <v>154129.7548527222</v>
      </c>
      <c r="I81" s="16">
        <v>74506.088885847566</v>
      </c>
      <c r="J81" s="16">
        <v>40991.202500104875</v>
      </c>
      <c r="K81" s="17">
        <f>SUM(B73:B81)</f>
        <v>2052804.2671627919</v>
      </c>
      <c r="L81" s="17">
        <f t="shared" si="21"/>
        <v>2226458.2016155203</v>
      </c>
      <c r="M81" s="17">
        <f t="shared" si="19"/>
        <v>1706394.8195818353</v>
      </c>
      <c r="N81" s="17">
        <f>(F81*SUM(Costs!$F$4,Costs!$F$5)+G81*SUM(Costs!$F$4,Costs!$F$5,$W82)+H81*Costs!$F$7+I81*Costs!$F$7+J81*Costs!$F$7) /($Q$9^(A81-$A$3+1))</f>
        <v>254656610.09262231</v>
      </c>
      <c r="O81" s="17">
        <f>(F81*SUM(Costs!$F$4,Costs!$F$5)+G81*SUM(Costs!$F$4,Costs!$F$5,$W83)+H81*Costs!$F$7+I81*Costs!$F$7+J81*Costs!$F$7) /($Q$9^(A81-$A$3+1))</f>
        <v>259324350.19508508</v>
      </c>
      <c r="Q81" s="32">
        <f>M$11-M81</f>
        <v>8044.8346012346447</v>
      </c>
      <c r="R81" s="27">
        <f>B$11-B81</f>
        <v>913.31786024541361</v>
      </c>
      <c r="S81" s="27">
        <f>D$11-D81</f>
        <v>2320.6986865390063</v>
      </c>
      <c r="T81" s="27"/>
      <c r="U81" s="33"/>
      <c r="W81" s="21" t="s">
        <v>25</v>
      </c>
      <c r="X81" s="48" t="s">
        <v>29</v>
      </c>
    </row>
    <row r="82" spans="1:26" ht="13.8" thickBot="1" x14ac:dyDescent="0.3">
      <c r="A82" s="23">
        <v>2028</v>
      </c>
      <c r="B82" s="24">
        <v>243154.86804942318</v>
      </c>
      <c r="C82" s="25">
        <v>51470.287273901275</v>
      </c>
      <c r="D82" s="25">
        <v>87947.428801312621</v>
      </c>
      <c r="E82" s="25">
        <v>173172.23526678153</v>
      </c>
      <c r="F82" s="25">
        <v>1200786.2529740112</v>
      </c>
      <c r="G82" s="25">
        <v>40343.978037379042</v>
      </c>
      <c r="H82" s="25">
        <v>153528.56502517156</v>
      </c>
      <c r="I82" s="25">
        <v>73739.482700876179</v>
      </c>
      <c r="J82" s="25">
        <v>39768.223341038632</v>
      </c>
      <c r="K82" s="26">
        <f>SUM(B73:B82)</f>
        <v>2295959.1352122151</v>
      </c>
      <c r="L82" s="26">
        <f t="shared" si="21"/>
        <v>2469131.3704789965</v>
      </c>
      <c r="M82" s="26">
        <f t="shared" si="19"/>
        <v>1837265.6278540329</v>
      </c>
      <c r="N82" s="26">
        <f>(F82*SUM(Costs!$F$4,Costs!$F$5)+G82*SUM(Costs!$F$4,Costs!$F$5,$W82)+H82*Costs!$F$7+I82*Costs!$F$7+J82*Costs!$F$7) /($Q$9^(A82-$A$3+1))</f>
        <v>248420048.27122489</v>
      </c>
      <c r="O82" s="26">
        <f>(F82*SUM(Costs!$F$4,Costs!$F$5)+G82*SUM(Costs!$F$4,Costs!$F$5,$W83)+H82*Costs!$F$7+I82*Costs!$F$7+J82*Costs!$F$7) /($Q$9^(A82-$A$3+1))</f>
        <v>252828748.59544146</v>
      </c>
      <c r="Q82" s="35">
        <f>M$12-M82</f>
        <v>8580.3346396442503</v>
      </c>
      <c r="R82" s="27">
        <f>B$12-B82</f>
        <v>917.96060080529423</v>
      </c>
      <c r="S82" s="27">
        <f>D$12-D82</f>
        <v>2449.5905265681649</v>
      </c>
      <c r="T82" s="42"/>
      <c r="U82" s="36"/>
      <c r="W82" s="43">
        <v>90.176489188662543</v>
      </c>
      <c r="X82" s="49">
        <f>$Q$6</f>
        <v>500</v>
      </c>
      <c r="Y82" s="22" t="s">
        <v>76</v>
      </c>
      <c r="Z82" s="27"/>
    </row>
    <row r="83" spans="1:26" ht="13.8" thickBot="1" x14ac:dyDescent="0.3">
      <c r="A83" s="12" t="s">
        <v>0</v>
      </c>
      <c r="B83" s="6">
        <f t="shared" ref="B83" si="22">SUM(B73:B82)</f>
        <v>2295959.1352122151</v>
      </c>
      <c r="C83" s="6">
        <f>SUM(C73:C82)</f>
        <v>533634.18448139203</v>
      </c>
      <c r="D83" s="6">
        <f t="shared" ref="D83:O83" si="23">SUM(D73:D82)</f>
        <v>887453.16130636178</v>
      </c>
      <c r="E83" s="6">
        <f t="shared" si="23"/>
        <v>1748948.5024818755</v>
      </c>
      <c r="F83" s="6">
        <f t="shared" si="23"/>
        <v>11468739.515318019</v>
      </c>
      <c r="G83" s="6">
        <f t="shared" si="23"/>
        <v>460899.34857687698</v>
      </c>
      <c r="H83" s="6">
        <f t="shared" si="23"/>
        <v>1528387.3866910755</v>
      </c>
      <c r="I83" s="6">
        <f t="shared" si="23"/>
        <v>771983.36838898656</v>
      </c>
      <c r="J83" s="6">
        <f t="shared" si="23"/>
        <v>455191.79414311686</v>
      </c>
      <c r="K83" s="6">
        <f t="shared" si="23"/>
        <v>12387997.148072822</v>
      </c>
      <c r="L83" s="6">
        <f t="shared" si="23"/>
        <v>14136945.650554698</v>
      </c>
      <c r="M83" s="6">
        <f t="shared" si="23"/>
        <v>11580466.270272063</v>
      </c>
      <c r="N83" s="6">
        <f t="shared" si="23"/>
        <v>2763006076.5145769</v>
      </c>
      <c r="O83" s="6">
        <f t="shared" si="23"/>
        <v>2821148046.513638</v>
      </c>
      <c r="Q83" s="6">
        <f>SUM(Q73:Q82)</f>
        <v>57680.525792719331</v>
      </c>
      <c r="R83" s="37">
        <f>SUM(R73:R82)</f>
        <v>9659.1822406758147</v>
      </c>
      <c r="S83" s="37">
        <f>SUM(S73:S82)</f>
        <v>19761.384973856839</v>
      </c>
      <c r="T83" s="18">
        <f>(N83-N$13)/Q83</f>
        <v>500.00000000000443</v>
      </c>
      <c r="U83" s="18">
        <f>(O83-O$13)/Q83</f>
        <v>1508.0000000000048</v>
      </c>
      <c r="W83" s="44">
        <v>237.03668656049635</v>
      </c>
      <c r="X83" s="50">
        <f>$Q$3</f>
        <v>1508</v>
      </c>
      <c r="Y83" s="22" t="s">
        <v>77</v>
      </c>
    </row>
    <row r="85" spans="1:26" ht="15" x14ac:dyDescent="0.4">
      <c r="B85" s="7" t="s">
        <v>78</v>
      </c>
      <c r="C85" s="8"/>
      <c r="D85" s="8"/>
      <c r="E85" s="8"/>
      <c r="F85" s="29"/>
      <c r="G85" s="8"/>
      <c r="H85" s="29"/>
      <c r="I85" s="29"/>
      <c r="J85" s="29"/>
      <c r="K85" s="8"/>
      <c r="L85" s="8"/>
      <c r="M85" s="8"/>
      <c r="N85" s="8"/>
      <c r="O85" s="30"/>
      <c r="Q85" s="7" t="s">
        <v>15</v>
      </c>
      <c r="R85" s="8"/>
      <c r="S85" s="8"/>
      <c r="T85" s="41"/>
      <c r="U85" s="31"/>
    </row>
    <row r="86" spans="1:26" ht="26.4" customHeight="1" x14ac:dyDescent="0.25">
      <c r="A86" s="9" t="s">
        <v>16</v>
      </c>
      <c r="B86" s="10" t="s">
        <v>3</v>
      </c>
      <c r="C86" s="11" t="s">
        <v>19</v>
      </c>
      <c r="D86" s="11" t="s">
        <v>4</v>
      </c>
      <c r="E86" s="11" t="s">
        <v>1</v>
      </c>
      <c r="F86" s="11" t="s">
        <v>10</v>
      </c>
      <c r="G86" s="11" t="s">
        <v>14</v>
      </c>
      <c r="H86" s="11" t="s">
        <v>13</v>
      </c>
      <c r="I86" s="11" t="s">
        <v>11</v>
      </c>
      <c r="J86" s="11" t="s">
        <v>12</v>
      </c>
      <c r="K86" s="11" t="s">
        <v>2</v>
      </c>
      <c r="L86" s="11" t="s">
        <v>17</v>
      </c>
      <c r="M86" s="11" t="s">
        <v>18</v>
      </c>
      <c r="N86" s="40" t="s">
        <v>27</v>
      </c>
      <c r="O86" s="40" t="s">
        <v>58</v>
      </c>
      <c r="Q86" s="10" t="s">
        <v>18</v>
      </c>
      <c r="R86" s="11" t="s">
        <v>3</v>
      </c>
      <c r="S86" s="11" t="s">
        <v>4</v>
      </c>
      <c r="T86" s="40" t="s">
        <v>28</v>
      </c>
      <c r="U86" s="40" t="s">
        <v>68</v>
      </c>
    </row>
    <row r="87" spans="1:26" x14ac:dyDescent="0.25">
      <c r="A87" s="14">
        <v>2019</v>
      </c>
      <c r="B87" s="15">
        <v>215435.45837210779</v>
      </c>
      <c r="C87" s="16">
        <v>53861.348814550576</v>
      </c>
      <c r="D87" s="16">
        <v>87802.844932611959</v>
      </c>
      <c r="E87" s="16">
        <v>174322.77036418385</v>
      </c>
      <c r="F87" s="16">
        <v>1002279.9936286381</v>
      </c>
      <c r="G87" s="16">
        <v>130251.46014470633</v>
      </c>
      <c r="H87" s="16">
        <v>150282.11096878766</v>
      </c>
      <c r="I87" s="16">
        <v>81684.69496673817</v>
      </c>
      <c r="J87" s="16">
        <v>51935.801605234163</v>
      </c>
      <c r="K87" s="17">
        <f>SUM(B87:B87)</f>
        <v>215435.45837210779</v>
      </c>
      <c r="L87" s="17">
        <f>SUM(E87,K87)</f>
        <v>389758.22873629164</v>
      </c>
      <c r="M87" s="17">
        <f t="shared" ref="M87:M96" si="24">L87/($Q$9^(A87-$A$3+1))</f>
        <v>378406.047316788</v>
      </c>
      <c r="N87" s="17">
        <f>(F87*SUM(Costs!$F$4,Costs!$F$5)+G87*SUM(Costs!$F$4,Costs!$F$5,$W96)+H87*Costs!$F$7+I87*Costs!$F$7+J87*Costs!$F$7) /($Q$9^(A87-$A$3+1))</f>
        <v>309852908.65988046</v>
      </c>
      <c r="O87" s="17">
        <f>(F87*SUM(Costs!$F$4,Costs!$F$5)+G87*SUM(Costs!$F$4,Costs!$F$5,$W97)+H87*Costs!$F$7+I87*Costs!$F$7+J87*Costs!$F$7) /($Q$9^(A87-$A$3+1))</f>
        <v>328387826.91332418</v>
      </c>
      <c r="Q87" s="32">
        <f>M$3-M87</f>
        <v>6029.5651260140003</v>
      </c>
      <c r="R87" s="27">
        <f>B$3-B87</f>
        <v>2679.1627793387743</v>
      </c>
      <c r="S87" s="27">
        <f>D$3-D87</f>
        <v>4043.2226487671142</v>
      </c>
      <c r="T87" s="27"/>
      <c r="U87" s="33"/>
    </row>
    <row r="88" spans="1:26" x14ac:dyDescent="0.25">
      <c r="A88" s="14">
        <v>2020</v>
      </c>
      <c r="B88" s="15">
        <v>217706.01700688864</v>
      </c>
      <c r="C88" s="16">
        <v>53089.535320771349</v>
      </c>
      <c r="D88" s="16">
        <v>86877.463899882612</v>
      </c>
      <c r="E88" s="16">
        <v>173709.02602124304</v>
      </c>
      <c r="F88" s="16">
        <v>1023752.8507351785</v>
      </c>
      <c r="G88" s="16">
        <v>127231.88232067226</v>
      </c>
      <c r="H88" s="16">
        <v>149414.13443782137</v>
      </c>
      <c r="I88" s="16">
        <v>79604.266346249584</v>
      </c>
      <c r="J88" s="16">
        <v>49888.565920660178</v>
      </c>
      <c r="K88" s="17">
        <f>SUM(B87:B88)</f>
        <v>433141.47537899646</v>
      </c>
      <c r="L88" s="17">
        <f t="shared" ref="L88:L89" si="25">SUM(E88,K88)</f>
        <v>606850.50140023953</v>
      </c>
      <c r="M88" s="17">
        <f t="shared" si="24"/>
        <v>572014.80007563345</v>
      </c>
      <c r="N88" s="17">
        <f>(F88*SUM(Costs!$F$4,Costs!$F$5)+G88*SUM(Costs!$F$4,Costs!$F$5,$W96)+H88*Costs!$F$7+I88*Costs!$F$7+J88*Costs!$F$7) /($Q$9^(A88-$A$3+1))</f>
        <v>303890411.31842786</v>
      </c>
      <c r="O88" s="17">
        <f>(F88*SUM(Costs!$F$4,Costs!$F$5)+G88*SUM(Costs!$F$4,Costs!$F$5,$W97)+H88*Costs!$F$7+I88*Costs!$F$7+J88*Costs!$F$7) /($Q$9^(A88-$A$3+1))</f>
        <v>321468303.7343635</v>
      </c>
      <c r="Q88" s="32">
        <f>M$4-M88</f>
        <v>8292.1149380650604</v>
      </c>
      <c r="R88" s="27">
        <f>B$4-B88</f>
        <v>2611.0752472934546</v>
      </c>
      <c r="S88" s="27">
        <f>D$4-D88</f>
        <v>4149.9485536057182</v>
      </c>
      <c r="T88" s="27"/>
      <c r="U88" s="33"/>
    </row>
    <row r="89" spans="1:26" x14ac:dyDescent="0.25">
      <c r="A89" s="14">
        <v>2021</v>
      </c>
      <c r="B89" s="15">
        <v>220813.04728987449</v>
      </c>
      <c r="C89" s="16">
        <v>53049.972471889334</v>
      </c>
      <c r="D89" s="16">
        <v>86980.347233113149</v>
      </c>
      <c r="E89" s="16">
        <v>173892.76734445899</v>
      </c>
      <c r="F89" s="16">
        <v>1037858.6700834258</v>
      </c>
      <c r="G89" s="16">
        <v>123327.53743246029</v>
      </c>
      <c r="H89" s="16">
        <v>152363.69483732886</v>
      </c>
      <c r="I89" s="16">
        <v>79573.454077389906</v>
      </c>
      <c r="J89" s="16">
        <v>49046.278144996606</v>
      </c>
      <c r="K89" s="17">
        <f>SUM(B87:B89)</f>
        <v>653954.52266887098</v>
      </c>
      <c r="L89" s="17">
        <f t="shared" si="25"/>
        <v>827847.29001332994</v>
      </c>
      <c r="M89" s="17">
        <f t="shared" si="24"/>
        <v>757597.54267381504</v>
      </c>
      <c r="N89" s="17">
        <f>(F89*SUM(Costs!$F$4,Costs!$F$5)+G89*SUM(Costs!$F$4,Costs!$F$5,$W96)+H89*Costs!$F$7+I89*Costs!$F$7+J89*Costs!$F$7) /($Q$9^(A89-$A$3+1))</f>
        <v>297188739.54479963</v>
      </c>
      <c r="O89" s="17">
        <f>(F89*SUM(Costs!$F$4,Costs!$F$5)+G89*SUM(Costs!$F$4,Costs!$F$5,$W97)+H89*Costs!$F$7+I89*Costs!$F$7+J89*Costs!$F$7) /($Q$9^(A89-$A$3+1))</f>
        <v>313730955.44630092</v>
      </c>
      <c r="Q89" s="32">
        <f>M$5-M89</f>
        <v>10347.968197877286</v>
      </c>
      <c r="R89" s="27">
        <f>B$5-B89</f>
        <v>2529.4598755003535</v>
      </c>
      <c r="S89" s="27">
        <f>D$5-D89</f>
        <v>4228.2829100268573</v>
      </c>
      <c r="T89" s="27"/>
      <c r="U89" s="33"/>
    </row>
    <row r="90" spans="1:26" x14ac:dyDescent="0.25">
      <c r="A90" s="14">
        <v>2022</v>
      </c>
      <c r="B90" s="15">
        <v>223643.08148464814</v>
      </c>
      <c r="C90" s="16">
        <v>52645.889252022345</v>
      </c>
      <c r="D90" s="16">
        <v>86615.026229785275</v>
      </c>
      <c r="E90" s="16">
        <v>173596.02125755747</v>
      </c>
      <c r="F90" s="16">
        <v>1054320.7916341419</v>
      </c>
      <c r="G90" s="16">
        <v>119806.97672079429</v>
      </c>
      <c r="H90" s="16">
        <v>153016.55209123096</v>
      </c>
      <c r="I90" s="16">
        <v>78579.844433377642</v>
      </c>
      <c r="J90" s="16">
        <v>47625.410353366075</v>
      </c>
      <c r="K90" s="17">
        <f>SUM(B87:B90)</f>
        <v>877597.60415351915</v>
      </c>
      <c r="L90" s="17">
        <f>SUM(E90,K90)</f>
        <v>1051193.6254110767</v>
      </c>
      <c r="M90" s="17">
        <f t="shared" si="24"/>
        <v>933971.92102927808</v>
      </c>
      <c r="N90" s="17">
        <f>(F90*SUM(Costs!$F$4,Costs!$F$5)+G90*SUM(Costs!$F$4,Costs!$F$5,$W96)+H90*Costs!$F$7+I90*Costs!$F$7+J90*Costs!$F$7) /($Q$9^(A90-$A$3+1))</f>
        <v>290686725.42622745</v>
      </c>
      <c r="O90" s="17">
        <f>(F90*SUM(Costs!$F$4,Costs!$F$5)+G90*SUM(Costs!$F$4,Costs!$F$5,$W97)+H90*Costs!$F$7+I90*Costs!$F$7+J90*Costs!$F$7) /($Q$9^(A90-$A$3+1))</f>
        <v>306288662.04799038</v>
      </c>
      <c r="Q90" s="32">
        <f>M$6-M90</f>
        <v>12250.001309662242</v>
      </c>
      <c r="R90" s="27">
        <f>B$6-B90</f>
        <v>2458.8153049964749</v>
      </c>
      <c r="S90" s="27">
        <f>D$6-D90</f>
        <v>4358.3675636654516</v>
      </c>
      <c r="T90" s="27"/>
      <c r="U90" s="33"/>
      <c r="X90" s="47"/>
      <c r="Y90" s="34"/>
      <c r="Z90" s="34"/>
    </row>
    <row r="91" spans="1:26" x14ac:dyDescent="0.25">
      <c r="A91" s="14">
        <v>2023</v>
      </c>
      <c r="B91" s="15">
        <v>226545.04622751896</v>
      </c>
      <c r="C91" s="16">
        <v>52237.163487850084</v>
      </c>
      <c r="D91" s="16">
        <v>86255.602227718482</v>
      </c>
      <c r="E91" s="16">
        <v>173235.11201153242</v>
      </c>
      <c r="F91" s="16">
        <v>1069793.5286830061</v>
      </c>
      <c r="G91" s="16">
        <v>116277.55357847987</v>
      </c>
      <c r="H91" s="16">
        <v>153413.87196817776</v>
      </c>
      <c r="I91" s="16">
        <v>77612.700439493186</v>
      </c>
      <c r="J91" s="16">
        <v>46220.802318707654</v>
      </c>
      <c r="K91" s="17">
        <f>SUM(B87:B91)</f>
        <v>1104142.6503810382</v>
      </c>
      <c r="L91" s="17">
        <f>SUM(E91,K91)</f>
        <v>1277377.7623925707</v>
      </c>
      <c r="M91" s="17">
        <f t="shared" si="24"/>
        <v>1101877.278816819</v>
      </c>
      <c r="N91" s="17">
        <f>(F91*SUM(Costs!$F$4,Costs!$F$5)+G91*SUM(Costs!$F$4,Costs!$F$5,$W96)+H91*Costs!$F$7+I91*Costs!$F$7+J91*Costs!$F$7) /($Q$9^(A91-$A$3+1))</f>
        <v>284081832.27857649</v>
      </c>
      <c r="O91" s="17">
        <f>(F91*SUM(Costs!$F$4,Costs!$F$5)+G91*SUM(Costs!$F$4,Costs!$F$5,$W97)+H91*Costs!$F$7+I91*Costs!$F$7+J91*Costs!$F$7) /($Q$9^(A91-$A$3+1))</f>
        <v>298783109.3079198</v>
      </c>
      <c r="Q91" s="32">
        <f>M$7-M91</f>
        <v>14007.745607127203</v>
      </c>
      <c r="R91" s="27">
        <f>B$7-B91</f>
        <v>2395.1515122778364</v>
      </c>
      <c r="S91" s="27">
        <f>D$7-D91</f>
        <v>4522.3886309765803</v>
      </c>
      <c r="T91" s="27"/>
      <c r="U91" s="33"/>
      <c r="X91" s="47"/>
      <c r="Y91" s="34"/>
      <c r="Z91" s="34"/>
    </row>
    <row r="92" spans="1:26" x14ac:dyDescent="0.25">
      <c r="A92" s="14">
        <v>2024</v>
      </c>
      <c r="B92" s="15">
        <v>229508.60054378849</v>
      </c>
      <c r="C92" s="16">
        <v>51824.291419348505</v>
      </c>
      <c r="D92" s="16">
        <v>85923.021344587207</v>
      </c>
      <c r="E92" s="16">
        <v>172825.68592232693</v>
      </c>
      <c r="F92" s="16">
        <v>1084328.1039087714</v>
      </c>
      <c r="G92" s="16">
        <v>112790.42669039872</v>
      </c>
      <c r="H92" s="16">
        <v>153552.11289579252</v>
      </c>
      <c r="I92" s="16">
        <v>76675.035738965424</v>
      </c>
      <c r="J92" s="16">
        <v>44844.553141305856</v>
      </c>
      <c r="K92" s="17">
        <f>SUM(B87:B92)</f>
        <v>1333651.2509248266</v>
      </c>
      <c r="L92" s="17">
        <f t="shared" ref="L92:L96" si="26">SUM(E92,K92)</f>
        <v>1506476.9368471536</v>
      </c>
      <c r="M92" s="17">
        <f t="shared" si="24"/>
        <v>1261650.717666507</v>
      </c>
      <c r="N92" s="17">
        <f>(F92*SUM(Costs!$F$4,Costs!$F$5)+G92*SUM(Costs!$F$4,Costs!$F$5,$W96)+H92*Costs!$F$7+I92*Costs!$F$7+J92*Costs!$F$7) /($Q$9^(A92-$A$3+1))</f>
        <v>277417514.73471022</v>
      </c>
      <c r="O92" s="17">
        <f>(F92*SUM(Costs!$F$4,Costs!$F$5)+G92*SUM(Costs!$F$4,Costs!$F$5,$W97)+H92*Costs!$F$7+I92*Costs!$F$7+J92*Costs!$F$7) /($Q$9^(A92-$A$3+1))</f>
        <v>291262553.96007639</v>
      </c>
      <c r="Q92" s="32">
        <f>M$8-M92</f>
        <v>15638.248944922583</v>
      </c>
      <c r="R92" s="27">
        <f>B$8-B92</f>
        <v>2340.9022657310124</v>
      </c>
      <c r="S92" s="27">
        <f>D$8-D92</f>
        <v>4711.8685623824422</v>
      </c>
      <c r="T92" s="27"/>
      <c r="U92" s="33"/>
      <c r="X92" s="47"/>
      <c r="Y92" s="34"/>
      <c r="Z92" s="34"/>
    </row>
    <row r="93" spans="1:26" x14ac:dyDescent="0.25">
      <c r="A93" s="14">
        <v>2025</v>
      </c>
      <c r="B93" s="15">
        <v>232156.38126737418</v>
      </c>
      <c r="C93" s="16">
        <v>51035.687998061505</v>
      </c>
      <c r="D93" s="16">
        <v>85103.196544082763</v>
      </c>
      <c r="E93" s="16">
        <v>171950.45358656571</v>
      </c>
      <c r="F93" s="16">
        <v>1101266.5225902272</v>
      </c>
      <c r="G93" s="16">
        <v>109696.69015731657</v>
      </c>
      <c r="H93" s="16">
        <v>151201.10794588135</v>
      </c>
      <c r="I93" s="16">
        <v>74755.860382155675</v>
      </c>
      <c r="J93" s="16">
        <v>42955.124367807541</v>
      </c>
      <c r="K93" s="17">
        <f>SUM(B87:B93)</f>
        <v>1565807.6321922007</v>
      </c>
      <c r="L93" s="17">
        <f t="shared" si="26"/>
        <v>1737758.0857787665</v>
      </c>
      <c r="M93" s="17">
        <f t="shared" si="24"/>
        <v>1412956.3483149908</v>
      </c>
      <c r="N93" s="17">
        <f>(F93*SUM(Costs!$F$4,Costs!$F$5)+G93*SUM(Costs!$F$4,Costs!$F$5,$W96)+H93*Costs!$F$7+I93*Costs!$F$7+J93*Costs!$F$7) /($Q$9^(A93-$A$3+1))</f>
        <v>270954877.26525658</v>
      </c>
      <c r="O93" s="17">
        <f>(F93*SUM(Costs!$F$4,Costs!$F$5)+G93*SUM(Costs!$F$4,Costs!$F$5,$W97)+H93*Costs!$F$7+I93*Costs!$F$7+J93*Costs!$F$7) /($Q$9^(A93-$A$3+1))</f>
        <v>284027967.23840928</v>
      </c>
      <c r="Q93" s="32">
        <f>M$9-M93</f>
        <v>17165.352987045189</v>
      </c>
      <c r="R93" s="27">
        <f>B$9-B93</f>
        <v>2302.3710530491953</v>
      </c>
      <c r="S93" s="27">
        <f>D$9-D93</f>
        <v>4925.2500091603142</v>
      </c>
      <c r="T93" s="27"/>
      <c r="U93" s="33"/>
    </row>
    <row r="94" spans="1:26" ht="13.8" thickBot="1" x14ac:dyDescent="0.3">
      <c r="A94" s="14">
        <v>2026</v>
      </c>
      <c r="B94" s="15">
        <v>235215.44543379601</v>
      </c>
      <c r="C94" s="16">
        <v>50603.686675174649</v>
      </c>
      <c r="D94" s="16">
        <v>84783.18051854019</v>
      </c>
      <c r="E94" s="16">
        <v>171419.87094403314</v>
      </c>
      <c r="F94" s="16">
        <v>1113756.8585027358</v>
      </c>
      <c r="G94" s="16">
        <v>106329.76831069282</v>
      </c>
      <c r="H94" s="16">
        <v>150821.36025556768</v>
      </c>
      <c r="I94" s="16">
        <v>73840.226130024443</v>
      </c>
      <c r="J94" s="16">
        <v>41641.331420728609</v>
      </c>
      <c r="K94" s="17">
        <f>SUM(B87:B94)</f>
        <v>1801023.0776259967</v>
      </c>
      <c r="L94" s="17">
        <f t="shared" si="26"/>
        <v>1972442.9485700298</v>
      </c>
      <c r="M94" s="17">
        <f t="shared" si="24"/>
        <v>1557064.6777585892</v>
      </c>
      <c r="N94" s="17">
        <f>(F94*SUM(Costs!$F$4,Costs!$F$5)+G94*SUM(Costs!$F$4,Costs!$F$5,$W96)+H94*Costs!$F$7+I94*Costs!$F$7+J94*Costs!$F$7) /($Q$9^(A94-$A$3+1))</f>
        <v>264182412.85783994</v>
      </c>
      <c r="O94" s="17">
        <f>(F94*SUM(Costs!$F$4,Costs!$F$5)+G94*SUM(Costs!$F$4,Costs!$F$5,$W97)+H94*Costs!$F$7+I94*Costs!$F$7+J94*Costs!$F$7) /($Q$9^(A94-$A$3+1))</f>
        <v>276485167.67670768</v>
      </c>
      <c r="Q94" s="32">
        <f>M$10-M94</f>
        <v>18590.848624903243</v>
      </c>
      <c r="R94" s="27">
        <f>B$10-B94</f>
        <v>2271.1494007765141</v>
      </c>
      <c r="S94" s="27">
        <f>D$10-D94</f>
        <v>5150.2697432620917</v>
      </c>
      <c r="T94" s="27"/>
      <c r="U94" s="33"/>
    </row>
    <row r="95" spans="1:26" x14ac:dyDescent="0.25">
      <c r="A95" s="14">
        <v>2027</v>
      </c>
      <c r="B95" s="15">
        <v>238684.04307080069</v>
      </c>
      <c r="C95" s="16">
        <v>50532.665215350011</v>
      </c>
      <c r="D95" s="16">
        <v>84992.660637003341</v>
      </c>
      <c r="E95" s="16">
        <v>171243.49147738676</v>
      </c>
      <c r="F95" s="16">
        <v>1121823.620352566</v>
      </c>
      <c r="G95" s="16">
        <v>102786.05927892883</v>
      </c>
      <c r="H95" s="16">
        <v>152526.58509289712</v>
      </c>
      <c r="I95" s="16">
        <v>73937.611372522122</v>
      </c>
      <c r="J95" s="16">
        <v>40877.461997304832</v>
      </c>
      <c r="K95" s="17">
        <f>SUM(B87:B95)</f>
        <v>2039707.1206967973</v>
      </c>
      <c r="L95" s="17">
        <f t="shared" si="26"/>
        <v>2210950.6121741841</v>
      </c>
      <c r="M95" s="17">
        <f t="shared" si="24"/>
        <v>1694509.5435556797</v>
      </c>
      <c r="N95" s="17">
        <f>(F95*SUM(Costs!$F$4,Costs!$F$5)+G95*SUM(Costs!$F$4,Costs!$F$5,$W96)+H95*Costs!$F$7+I95*Costs!$F$7+J95*Costs!$F$7) /($Q$9^(A95-$A$3+1))</f>
        <v>257176514.51789305</v>
      </c>
      <c r="O95" s="17">
        <f>(F95*SUM(Costs!$F$4,Costs!$F$5)+G95*SUM(Costs!$F$4,Costs!$F$5,$W97)+H95*Costs!$F$7+I95*Costs!$F$7+J95*Costs!$F$7) /($Q$9^(A95-$A$3+1))</f>
        <v>268722858.52958083</v>
      </c>
      <c r="Q95" s="32">
        <f>M$11-M95</f>
        <v>19930.110627390211</v>
      </c>
      <c r="R95" s="27">
        <f>B$11-B95</f>
        <v>2250.2806669013225</v>
      </c>
      <c r="S95" s="27">
        <f>D$11-D95</f>
        <v>5394.58476316632</v>
      </c>
      <c r="T95" s="27"/>
      <c r="U95" s="33"/>
      <c r="W95" s="21" t="s">
        <v>25</v>
      </c>
      <c r="X95" s="48" t="s">
        <v>29</v>
      </c>
    </row>
    <row r="96" spans="1:26" ht="13.8" thickBot="1" x14ac:dyDescent="0.3">
      <c r="A96" s="23">
        <v>2028</v>
      </c>
      <c r="B96" s="24">
        <v>241826.70222985014</v>
      </c>
      <c r="C96" s="25">
        <v>50089.934863725801</v>
      </c>
      <c r="D96" s="25">
        <v>84736.290132043185</v>
      </c>
      <c r="E96" s="25">
        <v>170633.94603527064</v>
      </c>
      <c r="F96" s="25">
        <v>1132455.0309608171</v>
      </c>
      <c r="G96" s="25">
        <v>99732.115684616205</v>
      </c>
      <c r="H96" s="25">
        <v>151772.52607686969</v>
      </c>
      <c r="I96" s="25">
        <v>73052.618537893126</v>
      </c>
      <c r="J96" s="25">
        <v>39622.638296984689</v>
      </c>
      <c r="K96" s="26">
        <f>SUM(B87:B96)</f>
        <v>2281533.8229266475</v>
      </c>
      <c r="L96" s="26">
        <f t="shared" si="26"/>
        <v>2452167.7689619181</v>
      </c>
      <c r="M96" s="26">
        <f t="shared" si="24"/>
        <v>1824643.115190442</v>
      </c>
      <c r="N96" s="26">
        <f>(F96*SUM(Costs!$F$4,Costs!$F$5)+G96*SUM(Costs!$F$4,Costs!$F$5,$W96)+H96*Costs!$F$7+I96*Costs!$F$7+J96*Costs!$F$7) /($Q$9^(A96-$A$3+1))</f>
        <v>250461278.84772599</v>
      </c>
      <c r="O96" s="26">
        <f>(F96*SUM(Costs!$F$4,Costs!$F$5)+G96*SUM(Costs!$F$4,Costs!$F$5,$W97)+H96*Costs!$F$7+I96*Costs!$F$7+J96*Costs!$F$7) /($Q$9^(A96-$A$3+1))</f>
        <v>261338252.69223738</v>
      </c>
      <c r="Q96" s="35">
        <f>M$12-M96</f>
        <v>21202.847303235205</v>
      </c>
      <c r="R96" s="27">
        <f>B$12-B96</f>
        <v>2246.1264203783358</v>
      </c>
      <c r="S96" s="27">
        <f>D$12-D96</f>
        <v>5660.7291958376009</v>
      </c>
      <c r="T96" s="42"/>
      <c r="U96" s="36"/>
      <c r="W96" s="43">
        <v>88.877234331278288</v>
      </c>
      <c r="X96" s="49">
        <f>$Q$6</f>
        <v>500</v>
      </c>
      <c r="Y96" s="22" t="s">
        <v>80</v>
      </c>
      <c r="Z96" s="27"/>
    </row>
    <row r="97" spans="1:25" ht="13.8" thickBot="1" x14ac:dyDescent="0.3">
      <c r="A97" s="12" t="s">
        <v>0</v>
      </c>
      <c r="B97" s="6">
        <f t="shared" ref="B97" si="27">SUM(B87:B96)</f>
        <v>2281533.8229266475</v>
      </c>
      <c r="C97" s="6">
        <f>SUM(C87:C96)</f>
        <v>518970.17551874416</v>
      </c>
      <c r="D97" s="6">
        <f t="shared" ref="D97:O97" si="28">SUM(D87:D96)</f>
        <v>860069.63369936822</v>
      </c>
      <c r="E97" s="6">
        <f t="shared" si="28"/>
        <v>1726829.144964559</v>
      </c>
      <c r="F97" s="6">
        <f t="shared" si="28"/>
        <v>10741635.971079508</v>
      </c>
      <c r="G97" s="6">
        <f t="shared" si="28"/>
        <v>1148230.4703190662</v>
      </c>
      <c r="H97" s="6">
        <f t="shared" si="28"/>
        <v>1518364.0565703548</v>
      </c>
      <c r="I97" s="6">
        <f t="shared" si="28"/>
        <v>769316.31242480921</v>
      </c>
      <c r="J97" s="6">
        <f t="shared" si="28"/>
        <v>454657.96756709612</v>
      </c>
      <c r="K97" s="6">
        <f t="shared" si="28"/>
        <v>12305994.615321003</v>
      </c>
      <c r="L97" s="6">
        <f t="shared" si="28"/>
        <v>14032823.76028556</v>
      </c>
      <c r="M97" s="6">
        <f t="shared" si="28"/>
        <v>11494691.992398541</v>
      </c>
      <c r="N97" s="6">
        <f t="shared" si="28"/>
        <v>2805893215.4513373</v>
      </c>
      <c r="O97" s="6">
        <f t="shared" si="28"/>
        <v>2950495657.5469098</v>
      </c>
      <c r="Q97" s="6">
        <f>SUM(Q87:Q96)</f>
        <v>143454.80366624222</v>
      </c>
      <c r="R97" s="37">
        <f>SUM(R87:R96)</f>
        <v>24084.494526243274</v>
      </c>
      <c r="S97" s="37">
        <f>SUM(S87:S96)</f>
        <v>47144.91258085049</v>
      </c>
      <c r="T97" s="18">
        <f>(N97-N$13)/Q97</f>
        <v>499.99999999999466</v>
      </c>
      <c r="U97" s="18">
        <f>(O97-O$13)/Q97</f>
        <v>1507.9999999999968</v>
      </c>
      <c r="W97" s="44">
        <v>235.44730563671666</v>
      </c>
      <c r="X97" s="50">
        <f>$Q$3</f>
        <v>1508</v>
      </c>
      <c r="Y97" s="22" t="s">
        <v>81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  <ignoredErrors>
    <ignoredError sqref="K4:K1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2"/>
  <sheetViews>
    <sheetView zoomScale="90" zoomScaleNormal="90" workbookViewId="0">
      <pane xSplit="1" ySplit="2" topLeftCell="L21" activePane="bottomRight" state="frozen"/>
      <selection activeCell="U27" sqref="U27"/>
      <selection pane="topRight" activeCell="U27" sqref="U27"/>
      <selection pane="bottomLeft" activeCell="U27" sqref="U27"/>
      <selection pane="bottomRight" activeCell="E48" sqref="E48:F49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130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218114.6211514466</v>
      </c>
      <c r="C3" s="16">
        <v>56542.642046445697</v>
      </c>
      <c r="D3" s="16">
        <v>91846.067581379088</v>
      </c>
      <c r="E3" s="16">
        <v>177854.05966463973</v>
      </c>
      <c r="F3" s="16">
        <v>1132939.8345262464</v>
      </c>
      <c r="G3" s="16">
        <v>0</v>
      </c>
      <c r="H3" s="16">
        <v>150484.45060744556</v>
      </c>
      <c r="I3" s="16">
        <v>81695.831558831793</v>
      </c>
      <c r="J3" s="16">
        <v>51939.758986082066</v>
      </c>
      <c r="K3" s="17">
        <f>SUM(B$3:B3)</f>
        <v>218114.6211514466</v>
      </c>
      <c r="L3" s="17">
        <f>SUM(E3,K3)</f>
        <v>395968.68081608636</v>
      </c>
      <c r="M3" s="17">
        <f t="shared" ref="M3:M22" si="0">L3/($Q$9^(A3-$A$3+1))</f>
        <v>384435.61244280229</v>
      </c>
      <c r="N3" s="17">
        <f>(F3*SUM(Costs!$F$4,Costs!$F$5)+G3*SUM(Costs!$F$4,Costs!$F$5,$W46)+H3*Costs!$F$7+I3*Costs!$F$7+J3*Costs!$F$7) /($Q$9^(A3-$A$3+1))</f>
        <v>298738722.56153584</v>
      </c>
      <c r="O3" s="17">
        <f>(F3*SUM(Costs!$F$4,Costs!$F$5)+G3*SUM(Costs!$F$4,Costs!$F$5,$W47)+H3*Costs!$F$7+I3*Costs!$F$7+J3*Costs!$F$7) /($Q$9^(A3-$A$3+1))</f>
        <v>298738722.56153584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220317.09225418215</v>
      </c>
      <c r="C4" s="16">
        <v>55708.276381712531</v>
      </c>
      <c r="D4" s="16">
        <v>91027.412453488563</v>
      </c>
      <c r="E4" s="16">
        <v>177215.89273240429</v>
      </c>
      <c r="F4" s="16">
        <v>1152389.8551338976</v>
      </c>
      <c r="G4" s="16">
        <v>0</v>
      </c>
      <c r="H4" s="16">
        <v>150019.83200070163</v>
      </c>
      <c r="I4" s="16">
        <v>79649.441703114833</v>
      </c>
      <c r="J4" s="16">
        <v>49901.525221205316</v>
      </c>
      <c r="K4" s="17">
        <f>SUM(B$3:B4)</f>
        <v>438431.71340562875</v>
      </c>
      <c r="L4" s="17">
        <f t="shared" ref="L4:L22" si="1">SUM(E4,K4)</f>
        <v>615647.60613803309</v>
      </c>
      <c r="M4" s="17">
        <f t="shared" si="0"/>
        <v>580306.91501369886</v>
      </c>
      <c r="N4" s="17">
        <f>(F4*SUM(Costs!$F$4,Costs!$F$5)+G4*SUM(Costs!$F$4,Costs!$F$5,$W46)+H4*Costs!$F$7+I4*Costs!$F$7+J4*Costs!$F$7) /($Q$9^(A4-$A$3+1))</f>
        <v>293636832.60359979</v>
      </c>
      <c r="O4" s="17">
        <f>(F4*SUM(Costs!$F$4,Costs!$F$5)+G4*SUM(Costs!$F$4,Costs!$F$5,$W47)+H4*Costs!$F$7+I4*Costs!$F$7+J4*Costs!$F$7) /($Q$9^(A4-$A$3+1))</f>
        <v>293636832.60359979</v>
      </c>
    </row>
    <row r="5" spans="1:27" x14ac:dyDescent="0.25">
      <c r="A5" s="14">
        <v>2021</v>
      </c>
      <c r="B5" s="15">
        <v>223342.5071653749</v>
      </c>
      <c r="C5" s="16">
        <v>55594.046287075784</v>
      </c>
      <c r="D5" s="16">
        <v>91208.630143140035</v>
      </c>
      <c r="E5" s="16">
        <v>177380.57368728842</v>
      </c>
      <c r="F5" s="16">
        <v>1163733.1216018142</v>
      </c>
      <c r="G5" s="16">
        <v>0</v>
      </c>
      <c r="H5" s="16">
        <v>153342.09627825985</v>
      </c>
      <c r="I5" s="16">
        <v>79677.878871801426</v>
      </c>
      <c r="J5" s="16">
        <v>49071.231953095798</v>
      </c>
      <c r="K5" s="17">
        <f>SUM(B$3:B5)</f>
        <v>661774.22057100362</v>
      </c>
      <c r="L5" s="17">
        <f t="shared" si="1"/>
        <v>839154.79425829207</v>
      </c>
      <c r="M5" s="17">
        <f t="shared" si="0"/>
        <v>767945.51087169268</v>
      </c>
      <c r="N5" s="17">
        <f>(F5*SUM(Costs!$F$4,Costs!$F$5)+G5*SUM(Costs!$F$4,Costs!$F$5,$W46)+H5*Costs!$F$7+I5*Costs!$F$7+J5*Costs!$F$7) /($Q$9^(A5-$A$3+1))</f>
        <v>287857560.6494835</v>
      </c>
      <c r="O5" s="17">
        <f>(F5*SUM(Costs!$F$4,Costs!$F$5)+G5*SUM(Costs!$F$4,Costs!$F$5,$W47)+H5*Costs!$F$7+I5*Costs!$F$7+J5*Costs!$F$7) /($Q$9^(A5-$A$3+1))</f>
        <v>287857560.6494835</v>
      </c>
      <c r="Q5" s="13" t="s">
        <v>21</v>
      </c>
    </row>
    <row r="6" spans="1:27" x14ac:dyDescent="0.25">
      <c r="A6" s="14">
        <v>2022</v>
      </c>
      <c r="B6" s="15">
        <v>226101.89678964467</v>
      </c>
      <c r="C6" s="16">
        <v>55127.435388445294</v>
      </c>
      <c r="D6" s="16">
        <v>90973.393793450814</v>
      </c>
      <c r="E6" s="16">
        <v>177104.99244696525</v>
      </c>
      <c r="F6" s="16">
        <v>1177981.6053383322</v>
      </c>
      <c r="G6" s="16">
        <v>0</v>
      </c>
      <c r="H6" s="16">
        <v>154336.76651750747</v>
      </c>
      <c r="I6" s="16">
        <v>78770.817294649358</v>
      </c>
      <c r="J6" s="16">
        <v>47664.73841698184</v>
      </c>
      <c r="K6" s="17">
        <f>SUM(B$3:B6)</f>
        <v>887876.11736064823</v>
      </c>
      <c r="L6" s="17">
        <f t="shared" si="1"/>
        <v>1064981.1098076135</v>
      </c>
      <c r="M6" s="17">
        <f t="shared" si="0"/>
        <v>946221.92233894079</v>
      </c>
      <c r="N6" s="17">
        <f>(F6*SUM(Costs!$F$4,Costs!$F$5)+G6*SUM(Costs!$F$4,Costs!$F$5,$W46)+H6*Costs!$F$7+I6*Costs!$F$7+J6*Costs!$F$7) /($Q$9^(A6-$A$3+1))</f>
        <v>282236572.56315613</v>
      </c>
      <c r="O6" s="17">
        <f>(F6*SUM(Costs!$F$4,Costs!$F$5)+G6*SUM(Costs!$F$4,Costs!$F$5,$W47)+H6*Costs!$F$7+I6*Costs!$F$7+J6*Costs!$F$7) /($Q$9^(A6-$A$3+1))</f>
        <v>282236572.56315613</v>
      </c>
      <c r="Q6" s="38">
        <v>500</v>
      </c>
    </row>
    <row r="7" spans="1:27" x14ac:dyDescent="0.25">
      <c r="A7" s="14">
        <v>2023</v>
      </c>
      <c r="B7" s="15">
        <v>228940.19773979686</v>
      </c>
      <c r="C7" s="16">
        <v>54664.138457744768</v>
      </c>
      <c r="D7" s="16">
        <v>90777.990858695077</v>
      </c>
      <c r="E7" s="16">
        <v>176800.26361385832</v>
      </c>
      <c r="F7" s="16">
        <v>1191414.2592411868</v>
      </c>
      <c r="G7" s="16">
        <v>0</v>
      </c>
      <c r="H7" s="16">
        <v>155057.73777737684</v>
      </c>
      <c r="I7" s="16">
        <v>77920.464294174555</v>
      </c>
      <c r="J7" s="16">
        <v>46279.14179010145</v>
      </c>
      <c r="K7" s="17">
        <f>SUM(B$3:B7)</f>
        <v>1116816.3151004452</v>
      </c>
      <c r="L7" s="17">
        <f t="shared" si="1"/>
        <v>1293616.5787143034</v>
      </c>
      <c r="M7" s="17">
        <f t="shared" si="0"/>
        <v>1115885.0244239466</v>
      </c>
      <c r="N7" s="17">
        <f>(F7*SUM(Costs!$F$4,Costs!$F$5)+G7*SUM(Costs!$F$4,Costs!$F$5,$W46)+H7*Costs!$F$7+I7*Costs!$F$7+J7*Costs!$F$7) /($Q$9^(A7-$A$3+1))</f>
        <v>276508826.72961199</v>
      </c>
      <c r="O7" s="17">
        <f>(F7*SUM(Costs!$F$4,Costs!$F$5)+G7*SUM(Costs!$F$4,Costs!$F$5,$W47)+H7*Costs!$F$7+I7*Costs!$F$7+J7*Costs!$F$7) /($Q$9^(A7-$A$3+1))</f>
        <v>276508826.72961199</v>
      </c>
      <c r="R7" s="20"/>
    </row>
    <row r="8" spans="1:27" x14ac:dyDescent="0.25">
      <c r="A8" s="14">
        <v>2024</v>
      </c>
      <c r="B8" s="15">
        <v>231849.50280951953</v>
      </c>
      <c r="C8" s="16">
        <v>54206.919958680926</v>
      </c>
      <c r="D8" s="16">
        <v>90634.88990696962</v>
      </c>
      <c r="E8" s="16">
        <v>176484.00600356655</v>
      </c>
      <c r="F8" s="16">
        <v>1204151.6545681788</v>
      </c>
      <c r="G8" s="16">
        <v>0</v>
      </c>
      <c r="H8" s="16">
        <v>155503.88261068508</v>
      </c>
      <c r="I8" s="16">
        <v>77126.817145146299</v>
      </c>
      <c r="J8" s="16">
        <v>44927.630245613356</v>
      </c>
      <c r="K8" s="17">
        <f>SUM(B$3:B8)</f>
        <v>1348665.8179099648</v>
      </c>
      <c r="L8" s="17">
        <f t="shared" si="1"/>
        <v>1525149.8239135314</v>
      </c>
      <c r="M8" s="17">
        <f t="shared" si="0"/>
        <v>1277288.9666114303</v>
      </c>
      <c r="N8" s="17">
        <f>(F8*SUM(Costs!$F$4,Costs!$F$5)+G8*SUM(Costs!$F$4,Costs!$F$5,$W46)+H8*Costs!$F$7+I8*Costs!$F$7+J8*Costs!$F$7) /($Q$9^(A8-$A$3+1))</f>
        <v>270715904.52973801</v>
      </c>
      <c r="O8" s="17">
        <f>(F8*SUM(Costs!$F$4,Costs!$F$5)+G8*SUM(Costs!$F$4,Costs!$F$5,$W47)+H8*Costs!$F$7+I8*Costs!$F$7+J8*Costs!$F$7) /($Q$9^(A8-$A$3+1))</f>
        <v>270715904.52973801</v>
      </c>
      <c r="Q8" s="13" t="s">
        <v>6</v>
      </c>
    </row>
    <row r="9" spans="1:27" x14ac:dyDescent="0.25">
      <c r="A9" s="14">
        <v>2025</v>
      </c>
      <c r="B9" s="15">
        <v>234458.75232042343</v>
      </c>
      <c r="C9" s="16">
        <v>53390.380649154256</v>
      </c>
      <c r="D9" s="16">
        <v>90028.44655324331</v>
      </c>
      <c r="E9" s="16">
        <v>175744.73457793886</v>
      </c>
      <c r="F9" s="16">
        <v>1219921.6489713001</v>
      </c>
      <c r="G9" s="16">
        <v>0</v>
      </c>
      <c r="H9" s="16">
        <v>153437.86536125091</v>
      </c>
      <c r="I9" s="16">
        <v>75364.803430905362</v>
      </c>
      <c r="J9" s="16">
        <v>43066.836076813794</v>
      </c>
      <c r="K9" s="17">
        <f>SUM(B$3:B9)</f>
        <v>1583124.5702303883</v>
      </c>
      <c r="L9" s="17">
        <f t="shared" si="1"/>
        <v>1758869.3048083272</v>
      </c>
      <c r="M9" s="17">
        <f t="shared" si="0"/>
        <v>1430121.7013020366</v>
      </c>
      <c r="N9" s="17">
        <f>(F9*SUM(Costs!$F$4,Costs!$F$5)+G9*SUM(Costs!$F$4,Costs!$F$5,$W46)+H9*Costs!$F$7+I9*Costs!$F$7+J9*Costs!$F$7) /($Q$9^(A9-$A$3+1))</f>
        <v>265095677.8903645</v>
      </c>
      <c r="O9" s="17">
        <f>(F9*SUM(Costs!$F$4,Costs!$F$5)+G9*SUM(Costs!$F$4,Costs!$F$5,$W47)+H9*Costs!$F$7+I9*Costs!$F$7+J9*Costs!$F$7) /($Q$9^(A9-$A$3+1))</f>
        <v>265095677.8903645</v>
      </c>
      <c r="Q9" s="19">
        <v>1.03</v>
      </c>
    </row>
    <row r="10" spans="1:27" x14ac:dyDescent="0.25">
      <c r="A10" s="14">
        <v>2026</v>
      </c>
      <c r="B10" s="15">
        <v>237486.59483457255</v>
      </c>
      <c r="C10" s="16">
        <v>52938.357125978902</v>
      </c>
      <c r="D10" s="16">
        <v>89933.450261802325</v>
      </c>
      <c r="E10" s="16">
        <v>175382.11433070331</v>
      </c>
      <c r="F10" s="16">
        <v>1231160.7045587685</v>
      </c>
      <c r="G10" s="16">
        <v>0</v>
      </c>
      <c r="H10" s="16">
        <v>153349.44056090093</v>
      </c>
      <c r="I10" s="16">
        <v>74631.923071045341</v>
      </c>
      <c r="J10" s="16">
        <v>41792.503707526899</v>
      </c>
      <c r="K10" s="17">
        <f>SUM(B$3:B10)</f>
        <v>1820611.165064961</v>
      </c>
      <c r="L10" s="17">
        <f t="shared" si="1"/>
        <v>1995993.2793956643</v>
      </c>
      <c r="M10" s="17">
        <f t="shared" si="0"/>
        <v>1575655.5263834931</v>
      </c>
      <c r="N10" s="17">
        <f>(F10*SUM(Costs!$F$4,Costs!$F$5)+G10*SUM(Costs!$F$4,Costs!$F$5,$W46)+H10*Costs!$F$7+I10*Costs!$F$7+J10*Costs!$F$7) /($Q$9^(A10-$A$3+1))</f>
        <v>259181600.13960442</v>
      </c>
      <c r="O10" s="17">
        <f>(F10*SUM(Costs!$F$4,Costs!$F$5)+G10*SUM(Costs!$F$4,Costs!$F$5,$W47)+H10*Costs!$F$7+I10*Costs!$F$7+J10*Costs!$F$7) /($Q$9^(A10-$A$3+1))</f>
        <v>259181600.13960442</v>
      </c>
    </row>
    <row r="11" spans="1:27" x14ac:dyDescent="0.25">
      <c r="A11" s="14">
        <v>2027</v>
      </c>
      <c r="B11" s="15">
        <v>240934.32373770207</v>
      </c>
      <c r="C11" s="16">
        <v>52858.209263396995</v>
      </c>
      <c r="D11" s="16">
        <v>90387.245400169646</v>
      </c>
      <c r="E11" s="16">
        <v>175409.39726889093</v>
      </c>
      <c r="F11" s="16">
        <v>1237978.9296293072</v>
      </c>
      <c r="G11" s="16">
        <v>0</v>
      </c>
      <c r="H11" s="16">
        <v>155362.60743119166</v>
      </c>
      <c r="I11" s="16">
        <v>74940.394009866577</v>
      </c>
      <c r="J11" s="16">
        <v>41081.69453589464</v>
      </c>
      <c r="K11" s="17">
        <f>SUM(B$3:B11)</f>
        <v>2061545.4888026631</v>
      </c>
      <c r="L11" s="17">
        <f t="shared" si="1"/>
        <v>2236954.8860715539</v>
      </c>
      <c r="M11" s="17">
        <f>L11/($Q$9^(A11-$A$3+1))</f>
        <v>1714439.6541830706</v>
      </c>
      <c r="N11" s="17">
        <f>(F11*SUM(Costs!$F$4,Costs!$F$5)+G11*SUM(Costs!$F$4,Costs!$F$5,$W$46)+H11*Costs!$F$7+I11*Costs!$F$7+J11*Costs!$F$7) /($Q$9^(A11-$A$3+1))</f>
        <v>253040078.58578828</v>
      </c>
      <c r="O11" s="17">
        <f>(F11*SUM(Costs!$F$4,Costs!$F$5)+G11*SUM(Costs!$F$4,Costs!$F$5,$W$47)+H11*Costs!$F$7+I11*Costs!$F$7+J11*Costs!$F$7) /($Q$9^(A11-$A$3+1))</f>
        <v>253040078.58578828</v>
      </c>
    </row>
    <row r="12" spans="1:27" x14ac:dyDescent="0.25">
      <c r="A12" s="14">
        <v>2028</v>
      </c>
      <c r="B12" s="15">
        <v>244072.8286502285</v>
      </c>
      <c r="C12" s="16">
        <v>52423.581116347152</v>
      </c>
      <c r="D12" s="16">
        <v>90397.019327880786</v>
      </c>
      <c r="E12" s="16">
        <v>175044.30528857763</v>
      </c>
      <c r="F12" s="16">
        <v>1248113.352712889</v>
      </c>
      <c r="G12" s="16">
        <v>0</v>
      </c>
      <c r="H12" s="16">
        <v>154899.96606274412</v>
      </c>
      <c r="I12" s="16">
        <v>74260.890586984737</v>
      </c>
      <c r="J12" s="16">
        <v>39884.740599475903</v>
      </c>
      <c r="K12" s="17">
        <f>SUM(B$3:B12)</f>
        <v>2305618.3174528917</v>
      </c>
      <c r="L12" s="17">
        <f t="shared" si="1"/>
        <v>2480662.6227414692</v>
      </c>
      <c r="M12" s="17">
        <f t="shared" ref="M12:M21" si="2">L12/($Q$9^(A12-$A$3+1))</f>
        <v>1845845.9624936779</v>
      </c>
      <c r="N12" s="17">
        <f>(F12*SUM(Costs!$F$4,Costs!$F$5)+G12*SUM(Costs!$F$4,Costs!$F$5,$W$46)+H12*Costs!$F$7+I12*Costs!$F$7+J12*Costs!$F$7) /($Q$9^(A12-$A$3+1))</f>
        <v>247154037.36533859</v>
      </c>
      <c r="O12" s="17">
        <f>(F12*SUM(Costs!$F$4,Costs!$F$5)+G12*SUM(Costs!$F$4,Costs!$F$5,$W$47)+H12*Costs!$F$7+I12*Costs!$F$7+J12*Costs!$F$7) /($Q$9^(A12-$A$3+1))</f>
        <v>247154037.36533859</v>
      </c>
    </row>
    <row r="13" spans="1:27" x14ac:dyDescent="0.25">
      <c r="A13" s="14">
        <v>2029</v>
      </c>
      <c r="B13" s="15">
        <v>247259.99500823335</v>
      </c>
      <c r="C13" s="16">
        <v>51992.108724900143</v>
      </c>
      <c r="D13" s="16">
        <v>90435.293248264716</v>
      </c>
      <c r="E13" s="16">
        <v>174663.46700759692</v>
      </c>
      <c r="F13" s="16">
        <v>1257668.7103137563</v>
      </c>
      <c r="G13" s="16">
        <v>0</v>
      </c>
      <c r="H13" s="16">
        <v>154258.89804230709</v>
      </c>
      <c r="I13" s="16">
        <v>73580.366636420542</v>
      </c>
      <c r="J13" s="16">
        <v>38727.199609718991</v>
      </c>
      <c r="K13" s="17">
        <f>SUM(B$3:B13)</f>
        <v>2552878.3124611252</v>
      </c>
      <c r="L13" s="17">
        <f t="shared" si="1"/>
        <v>2727541.7794687222</v>
      </c>
      <c r="M13" s="17">
        <f t="shared" si="2"/>
        <v>1970434.2143002541</v>
      </c>
      <c r="N13" s="17">
        <f>(F13*SUM(Costs!$F$4,Costs!$F$5)+G13*SUM(Costs!$F$4,Costs!$F$5,$W$46)+H13*Costs!$F$7+I13*Costs!$F$7+J13*Costs!$F$7) /($Q$9^(A13-$A$3+1))</f>
        <v>241283174.78387058</v>
      </c>
      <c r="O13" s="17">
        <f>(F13*SUM(Costs!$F$4,Costs!$F$5)+G13*SUM(Costs!$F$4,Costs!$F$5,$W$47)+H13*Costs!$F$7+I13*Costs!$F$7+J13*Costs!$F$7) /($Q$9^(A13-$A$3+1))</f>
        <v>241283174.78387058</v>
      </c>
    </row>
    <row r="14" spans="1:27" x14ac:dyDescent="0.25">
      <c r="A14" s="14">
        <v>2030</v>
      </c>
      <c r="B14" s="15">
        <v>250861.09018644199</v>
      </c>
      <c r="C14" s="16">
        <v>51931.454274431424</v>
      </c>
      <c r="D14" s="16">
        <v>90464.683108936471</v>
      </c>
      <c r="E14" s="16">
        <v>174657.23081033721</v>
      </c>
      <c r="F14" s="16">
        <v>1262774.5932574945</v>
      </c>
      <c r="G14" s="16">
        <v>0</v>
      </c>
      <c r="H14" s="16">
        <v>155814.83736396531</v>
      </c>
      <c r="I14" s="16">
        <v>73924.570769572354</v>
      </c>
      <c r="J14" s="16">
        <v>38110.566308598296</v>
      </c>
      <c r="K14" s="17">
        <f>SUM(B$3:B14)</f>
        <v>2803739.402647567</v>
      </c>
      <c r="L14" s="17">
        <f t="shared" si="1"/>
        <v>2978396.6334579042</v>
      </c>
      <c r="M14" s="17">
        <f t="shared" si="2"/>
        <v>2088987.4739418596</v>
      </c>
      <c r="N14" s="17">
        <f>(F14*SUM(Costs!$F$4,Costs!$F$5)+G14*SUM(Costs!$F$4,Costs!$F$5,$W$46)+H14*Costs!$F$7+I14*Costs!$F$7+J14*Costs!$F$7) /($Q$9^(A14-$A$3+1))</f>
        <v>235228468.2043643</v>
      </c>
      <c r="O14" s="17">
        <f>(F14*SUM(Costs!$F$4,Costs!$F$5)+G14*SUM(Costs!$F$4,Costs!$F$5,$W$47)+H14*Costs!$F$7+I14*Costs!$F$7+J14*Costs!$F$7) /($Q$9^(A14-$A$3+1))</f>
        <v>235228468.2043643</v>
      </c>
    </row>
    <row r="15" spans="1:27" x14ac:dyDescent="0.25">
      <c r="A15" s="14">
        <v>2031</v>
      </c>
      <c r="B15" s="15">
        <v>254503.13072225009</v>
      </c>
      <c r="C15" s="16">
        <v>51869.322539383982</v>
      </c>
      <c r="D15" s="16">
        <v>89901.214006479946</v>
      </c>
      <c r="E15" s="16">
        <v>174584.6326738708</v>
      </c>
      <c r="F15" s="16">
        <v>1266749.9438742008</v>
      </c>
      <c r="G15" s="16">
        <v>0</v>
      </c>
      <c r="H15" s="16">
        <v>157116.76764522135</v>
      </c>
      <c r="I15" s="16">
        <v>74275.803375359203</v>
      </c>
      <c r="J15" s="16">
        <v>37523.821854886002</v>
      </c>
      <c r="K15" s="17">
        <f>SUM(B$3:B15)</f>
        <v>3058242.5333698168</v>
      </c>
      <c r="L15" s="17">
        <f t="shared" si="1"/>
        <v>3232827.1660436876</v>
      </c>
      <c r="M15" s="17">
        <f t="shared" si="2"/>
        <v>2201397.9906837968</v>
      </c>
      <c r="N15" s="17">
        <f>(F15*SUM(Costs!$F$4,Costs!$F$5)+G15*SUM(Costs!$F$4,Costs!$F$5,$W$46)+H15*Costs!$F$7+I15*Costs!$F$7+J15*Costs!$F$7) /($Q$9^(A15-$A$3+1))</f>
        <v>229119714.58690006</v>
      </c>
      <c r="O15" s="17">
        <f>(F15*SUM(Costs!$F$4,Costs!$F$5)+G15*SUM(Costs!$F$4,Costs!$F$5,$W$47)+H15*Costs!$F$7+I15*Costs!$F$7+J15*Costs!$F$7) /($Q$9^(A15-$A$3+1))</f>
        <v>229119714.58690006</v>
      </c>
    </row>
    <row r="16" spans="1:27" x14ac:dyDescent="0.25">
      <c r="A16" s="14">
        <v>2032</v>
      </c>
      <c r="B16" s="15">
        <v>258179.03385928547</v>
      </c>
      <c r="C16" s="16">
        <v>51798.130293192109</v>
      </c>
      <c r="D16" s="16">
        <v>89313.045407673097</v>
      </c>
      <c r="E16" s="16">
        <v>174428.43028987735</v>
      </c>
      <c r="F16" s="16">
        <v>1269452.5052183294</v>
      </c>
      <c r="G16" s="16">
        <v>0</v>
      </c>
      <c r="H16" s="16">
        <v>158133.40527461769</v>
      </c>
      <c r="I16" s="16">
        <v>74625.817207043176</v>
      </c>
      <c r="J16" s="16">
        <v>36968.163731557586</v>
      </c>
      <c r="K16" s="17">
        <f>SUM(B$3:B16)</f>
        <v>3316421.5672291024</v>
      </c>
      <c r="L16" s="17">
        <f t="shared" si="1"/>
        <v>3490849.9975189799</v>
      </c>
      <c r="M16" s="17">
        <f t="shared" si="2"/>
        <v>2307863.0908016805</v>
      </c>
      <c r="N16" s="17">
        <f>(F16*SUM(Costs!$F$4,Costs!$F$5)+G16*SUM(Costs!$F$4,Costs!$F$5,$W$46)+H16*Costs!$F$7+I16*Costs!$F$7+J16*Costs!$F$7) /($Q$9^(A16-$A$3+1))</f>
        <v>222945267.89098287</v>
      </c>
      <c r="O16" s="17">
        <f>(F16*SUM(Costs!$F$4,Costs!$F$5)+G16*SUM(Costs!$F$4,Costs!$F$5,$W$47)+H16*Costs!$F$7+I16*Costs!$F$7+J16*Costs!$F$7) /($Q$9^(A16-$A$3+1))</f>
        <v>222945267.89098287</v>
      </c>
    </row>
    <row r="17" spans="1:26" x14ac:dyDescent="0.25">
      <c r="A17" s="14">
        <v>2033</v>
      </c>
      <c r="B17" s="15">
        <v>261886.68643745664</v>
      </c>
      <c r="C17" s="16">
        <v>51714.790724277329</v>
      </c>
      <c r="D17" s="16">
        <v>88718.294783075879</v>
      </c>
      <c r="E17" s="16">
        <v>174188.24588155534</v>
      </c>
      <c r="F17" s="16">
        <v>1270926.9655724156</v>
      </c>
      <c r="G17" s="16">
        <v>0</v>
      </c>
      <c r="H17" s="16">
        <v>158876.71719764228</v>
      </c>
      <c r="I17" s="16">
        <v>74964.953878294429</v>
      </c>
      <c r="J17" s="16">
        <v>36443.9728136052</v>
      </c>
      <c r="K17" s="17">
        <f>SUM(B$3:B17)</f>
        <v>3578308.2536665592</v>
      </c>
      <c r="L17" s="17">
        <f t="shared" si="1"/>
        <v>3752496.4995481144</v>
      </c>
      <c r="M17" s="17">
        <f t="shared" si="2"/>
        <v>2408584.7107993192</v>
      </c>
      <c r="N17" s="17">
        <f>(F17*SUM(Costs!$F$4,Costs!$F$5)+G17*SUM(Costs!$F$4,Costs!$F$5,$W$46)+H17*Costs!$F$7+I17*Costs!$F$7+J17*Costs!$F$7) /($Q$9^(A17-$A$3+1))</f>
        <v>216727544.16236442</v>
      </c>
      <c r="O17" s="17">
        <f>(F17*SUM(Costs!$F$4,Costs!$F$5)+G17*SUM(Costs!$F$4,Costs!$F$5,$W$47)+H17*Costs!$F$7+I17*Costs!$F$7+J17*Costs!$F$7) /($Q$9^(A17-$A$3+1))</f>
        <v>216727544.16236442</v>
      </c>
    </row>
    <row r="18" spans="1:26" x14ac:dyDescent="0.25">
      <c r="A18" s="14">
        <v>2034</v>
      </c>
      <c r="B18" s="15">
        <v>265625.66319023847</v>
      </c>
      <c r="C18" s="16">
        <v>51617.534445345038</v>
      </c>
      <c r="D18" s="16">
        <v>88119.779866443816</v>
      </c>
      <c r="E18" s="16">
        <v>173864.19972176253</v>
      </c>
      <c r="F18" s="16">
        <v>1271229.1043092199</v>
      </c>
      <c r="G18" s="16">
        <v>0</v>
      </c>
      <c r="H18" s="16">
        <v>159363.93889835684</v>
      </c>
      <c r="I18" s="16">
        <v>75282.873279633743</v>
      </c>
      <c r="J18" s="16">
        <v>35950.83359041065</v>
      </c>
      <c r="K18" s="17">
        <f>SUM(B$3:B18)</f>
        <v>3843933.9168567979</v>
      </c>
      <c r="L18" s="17">
        <f t="shared" si="1"/>
        <v>4017798.1165785603</v>
      </c>
      <c r="M18" s="17">
        <f t="shared" si="2"/>
        <v>2503758.9547126018</v>
      </c>
      <c r="N18" s="17">
        <f>(F18*SUM(Costs!$F$4,Costs!$F$5)+G18*SUM(Costs!$F$4,Costs!$F$5,$W$46)+H18*Costs!$F$7+I18*Costs!$F$7+J18*Costs!$F$7) /($Q$9^(A18-$A$3+1))</f>
        <v>210489091.53130871</v>
      </c>
      <c r="O18" s="17">
        <f>(F18*SUM(Costs!$F$4,Costs!$F$5)+G18*SUM(Costs!$F$4,Costs!$F$5,$W$47)+H18*Costs!$F$7+I18*Costs!$F$7+J18*Costs!$F$7) /($Q$9^(A18-$A$3+1))</f>
        <v>210489091.53130871</v>
      </c>
    </row>
    <row r="19" spans="1:26" x14ac:dyDescent="0.25">
      <c r="A19" s="14">
        <v>2035</v>
      </c>
      <c r="B19" s="15">
        <v>269396.27213763812</v>
      </c>
      <c r="C19" s="16">
        <v>51505.031637042455</v>
      </c>
      <c r="D19" s="16">
        <v>87515.958627438013</v>
      </c>
      <c r="E19" s="16">
        <v>173456.37514591857</v>
      </c>
      <c r="F19" s="16">
        <v>1270417.5026721256</v>
      </c>
      <c r="G19" s="16">
        <v>0</v>
      </c>
      <c r="H19" s="16">
        <v>159614.57875021067</v>
      </c>
      <c r="I19" s="16">
        <v>75569.336642488852</v>
      </c>
      <c r="J19" s="16">
        <v>35487.598379795585</v>
      </c>
      <c r="K19" s="17">
        <f>SUM(B$3:B19)</f>
        <v>4113330.1889944361</v>
      </c>
      <c r="L19" s="17">
        <f>SUM(E19,K19)</f>
        <v>4286786.5641403543</v>
      </c>
      <c r="M19" s="17">
        <f t="shared" si="2"/>
        <v>2593576.3711313154</v>
      </c>
      <c r="N19" s="17">
        <f>(F19*SUM(Costs!$F$4,Costs!$F$5)+G19*SUM(Costs!$F$4,Costs!$F$5,$W$46)+H19*Costs!$F$7+I19*Costs!$F$7+J19*Costs!$F$7) /($Q$9^(A19-$A$3+1))</f>
        <v>204251045.47696289</v>
      </c>
      <c r="O19" s="17">
        <f>(F19*SUM(Costs!$F$4,Costs!$F$5)+G19*SUM(Costs!$F$4,Costs!$F$5,$W$47)+H19*Costs!$F$7+I19*Costs!$F$7+J19*Costs!$F$7) /($Q$9^(A19-$A$3+1))</f>
        <v>204251045.47696289</v>
      </c>
    </row>
    <row r="20" spans="1:26" x14ac:dyDescent="0.25">
      <c r="A20" s="14">
        <v>2036</v>
      </c>
      <c r="B20" s="15">
        <v>273199.22300072928</v>
      </c>
      <c r="C20" s="16">
        <v>51376.117851031973</v>
      </c>
      <c r="D20" s="16">
        <v>86904.259415172404</v>
      </c>
      <c r="E20" s="16">
        <v>172964.81706896209</v>
      </c>
      <c r="F20" s="16">
        <v>1268550.9654860331</v>
      </c>
      <c r="G20" s="16">
        <v>0</v>
      </c>
      <c r="H20" s="16">
        <v>159648.90787434974</v>
      </c>
      <c r="I20" s="16">
        <v>75814.87980627644</v>
      </c>
      <c r="J20" s="16">
        <v>35052.479362271806</v>
      </c>
      <c r="K20" s="17">
        <f>SUM(B$3:B20)</f>
        <v>4386529.4119951651</v>
      </c>
      <c r="L20" s="17">
        <f t="shared" si="1"/>
        <v>4559494.2290641274</v>
      </c>
      <c r="M20" s="17">
        <f>L20/($Q$9^(A20-$A$3+1))</f>
        <v>2678222.3236098285</v>
      </c>
      <c r="N20" s="17">
        <f>(F20*SUM(Costs!$F$4,Costs!$F$5)+G20*SUM(Costs!$F$4,Costs!$F$5,$W$46)+H20*Costs!$F$7+I20*Costs!$F$7+J20*Costs!$F$7) /($Q$9^(A20-$A$3+1))</f>
        <v>198032751.09083271</v>
      </c>
      <c r="O20" s="17">
        <f>(F20*SUM(Costs!$F$4,Costs!$F$5)+G20*SUM(Costs!$F$4,Costs!$F$5,$W$47)+H20*Costs!$F$7+I20*Costs!$F$7+J20*Costs!$F$7) /($Q$9^(A20-$A$3+1))</f>
        <v>198032751.09083271</v>
      </c>
    </row>
    <row r="21" spans="1:26" x14ac:dyDescent="0.25">
      <c r="A21" s="14">
        <v>2037</v>
      </c>
      <c r="B21" s="15">
        <v>277035.51771431993</v>
      </c>
      <c r="C21" s="16">
        <v>51229.726768376175</v>
      </c>
      <c r="D21" s="16">
        <v>86282.163346677989</v>
      </c>
      <c r="E21" s="16">
        <v>172389.666119728</v>
      </c>
      <c r="F21" s="16">
        <v>1265687.7131194046</v>
      </c>
      <c r="G21" s="16">
        <v>0</v>
      </c>
      <c r="H21" s="16">
        <v>159487.0697879394</v>
      </c>
      <c r="I21" s="16">
        <v>76011.303803908537</v>
      </c>
      <c r="J21" s="16">
        <v>34643.163726142673</v>
      </c>
      <c r="K21" s="17">
        <f>SUM(B$3:B21)</f>
        <v>4663564.9297094848</v>
      </c>
      <c r="L21" s="17">
        <f t="shared" si="1"/>
        <v>4835954.595829213</v>
      </c>
      <c r="M21" s="17">
        <f t="shared" si="2"/>
        <v>2757877.3322983105</v>
      </c>
      <c r="N21" s="17">
        <f>(F21*SUM(Costs!$F$4,Costs!$F$5)+G21*SUM(Costs!$F$4,Costs!$F$5,$W$46)+H21*Costs!$F$7+I21*Costs!$F$7+J21*Costs!$F$7) /($Q$9^(A21-$A$3+1))</f>
        <v>191851734.91964653</v>
      </c>
      <c r="O21" s="17">
        <f>(F21*SUM(Costs!$F$4,Costs!$F$5)+G21*SUM(Costs!$F$4,Costs!$F$5,$W$47)+H21*Costs!$F$7+I21*Costs!$F$7+J21*Costs!$F$7) /($Q$9^(A21-$A$3+1))</f>
        <v>191851734.91964653</v>
      </c>
    </row>
    <row r="22" spans="1:26" s="27" customFormat="1" x14ac:dyDescent="0.25">
      <c r="A22" s="23">
        <v>2038</v>
      </c>
      <c r="B22" s="24">
        <v>280906.42382417305</v>
      </c>
      <c r="C22" s="25">
        <v>51064.894023051442</v>
      </c>
      <c r="D22" s="25">
        <v>85647.56107722102</v>
      </c>
      <c r="E22" s="25">
        <v>171731.30441854705</v>
      </c>
      <c r="F22" s="25">
        <v>1261885.1489106903</v>
      </c>
      <c r="G22" s="25">
        <v>0</v>
      </c>
      <c r="H22" s="25">
        <v>159148.51855096055</v>
      </c>
      <c r="I22" s="25">
        <v>76151.96762385765</v>
      </c>
      <c r="J22" s="25">
        <v>34256.945899881357</v>
      </c>
      <c r="K22" s="26">
        <f>SUM(B$3:B22)</f>
        <v>4944471.3535336582</v>
      </c>
      <c r="L22" s="26">
        <f t="shared" si="1"/>
        <v>5116202.6579522053</v>
      </c>
      <c r="M22" s="26">
        <f t="shared" si="0"/>
        <v>2832717.3652118188</v>
      </c>
      <c r="N22" s="26">
        <f>(F22*SUM(Costs!$F$4,Costs!$F$5)+G22*SUM(Costs!$F$4,Costs!$F$5,$W46)+H22*Costs!$F$7+I22*Costs!$F$7+J22*Costs!$F$7) /($Q$9^(A22-$A$3+1))</f>
        <v>185723781.76882878</v>
      </c>
      <c r="O22" s="26">
        <f>(F22*SUM(Costs!$F$4,Costs!$F$5)+G22*SUM(Costs!$F$4,Costs!$F$5,$W47)+H22*Costs!$F$7+I22*Costs!$F$7+J22*Costs!$F$7) /($Q$9^(A22-$A$3+1))</f>
        <v>185723781.76882878</v>
      </c>
      <c r="V22" s="28"/>
    </row>
    <row r="23" spans="1:26" x14ac:dyDescent="0.25">
      <c r="A23" s="12" t="s">
        <v>0</v>
      </c>
      <c r="B23" s="6">
        <f>SUM(B3:B22)</f>
        <v>4944471.3535336582</v>
      </c>
      <c r="C23" s="6">
        <f>SUM(C3:C22)</f>
        <v>1059553.0979560143</v>
      </c>
      <c r="D23" s="6">
        <f t="shared" ref="D23:O23" si="3">SUM(D3:D22)</f>
        <v>1790516.7991676028</v>
      </c>
      <c r="E23" s="6">
        <f t="shared" si="3"/>
        <v>3501348.7087529888</v>
      </c>
      <c r="F23" s="6">
        <f t="shared" si="3"/>
        <v>24625128.119015593</v>
      </c>
      <c r="G23" s="6">
        <f t="shared" si="3"/>
        <v>0</v>
      </c>
      <c r="H23" s="6">
        <f t="shared" si="3"/>
        <v>3117258.2845936348</v>
      </c>
      <c r="I23" s="6">
        <f t="shared" si="3"/>
        <v>1524241.134989375</v>
      </c>
      <c r="J23" s="6">
        <f t="shared" si="3"/>
        <v>818774.54680965922</v>
      </c>
      <c r="K23" s="6">
        <f t="shared" si="3"/>
        <v>49703998.217513755</v>
      </c>
      <c r="L23" s="6">
        <f t="shared" si="3"/>
        <v>53205346.926266745</v>
      </c>
      <c r="M23" s="6">
        <f t="shared" si="3"/>
        <v>35981566.623555578</v>
      </c>
      <c r="N23" s="6">
        <f t="shared" si="3"/>
        <v>4869818388.0342827</v>
      </c>
      <c r="O23" s="6">
        <f t="shared" si="3"/>
        <v>4869818388.0342827</v>
      </c>
      <c r="V23" s="18"/>
    </row>
    <row r="24" spans="1:26" x14ac:dyDescent="0.25">
      <c r="E24" s="52"/>
      <c r="K24" s="52"/>
      <c r="L24" s="52"/>
      <c r="M24" s="52"/>
      <c r="N24" s="52"/>
    </row>
    <row r="25" spans="1:26" ht="15" x14ac:dyDescent="0.4">
      <c r="B25" s="7" t="s">
        <v>131</v>
      </c>
      <c r="C25" s="8"/>
      <c r="D25" s="8"/>
      <c r="E25" s="8"/>
      <c r="F25" s="29"/>
      <c r="G25" s="8"/>
      <c r="H25" s="29"/>
      <c r="I25" s="29"/>
      <c r="J25" s="29"/>
      <c r="K25" s="8"/>
      <c r="L25" s="8"/>
      <c r="M25" s="8"/>
      <c r="N25" s="8"/>
      <c r="O25" s="30"/>
      <c r="Q25" s="7" t="s">
        <v>15</v>
      </c>
      <c r="R25" s="8"/>
      <c r="S25" s="8"/>
      <c r="T25" s="41"/>
      <c r="U25" s="31"/>
    </row>
    <row r="26" spans="1:26" ht="26.4" customHeight="1" x14ac:dyDescent="0.25">
      <c r="A26" s="9" t="s">
        <v>16</v>
      </c>
      <c r="B26" s="10" t="s">
        <v>3</v>
      </c>
      <c r="C26" s="11" t="s">
        <v>19</v>
      </c>
      <c r="D26" s="11" t="s">
        <v>4</v>
      </c>
      <c r="E26" s="11" t="s">
        <v>1</v>
      </c>
      <c r="F26" s="11" t="s">
        <v>10</v>
      </c>
      <c r="G26" s="11" t="s">
        <v>14</v>
      </c>
      <c r="H26" s="11" t="s">
        <v>13</v>
      </c>
      <c r="I26" s="11" t="s">
        <v>11</v>
      </c>
      <c r="J26" s="11" t="s">
        <v>12</v>
      </c>
      <c r="K26" s="11" t="s">
        <v>2</v>
      </c>
      <c r="L26" s="11" t="s">
        <v>17</v>
      </c>
      <c r="M26" s="11" t="s">
        <v>18</v>
      </c>
      <c r="N26" s="40" t="s">
        <v>27</v>
      </c>
      <c r="O26" s="40" t="s">
        <v>58</v>
      </c>
      <c r="Q26" s="10" t="s">
        <v>18</v>
      </c>
      <c r="R26" s="11" t="s">
        <v>3</v>
      </c>
      <c r="S26" s="11" t="s">
        <v>4</v>
      </c>
      <c r="T26" s="40" t="s">
        <v>28</v>
      </c>
      <c r="U26" s="40" t="s">
        <v>68</v>
      </c>
    </row>
    <row r="27" spans="1:26" x14ac:dyDescent="0.25">
      <c r="A27" s="14">
        <v>2019</v>
      </c>
      <c r="B27" s="15">
        <v>215837.70973890935</v>
      </c>
      <c r="C27" s="16">
        <v>54263.919750704888</v>
      </c>
      <c r="D27" s="16">
        <v>88409.30081585687</v>
      </c>
      <c r="E27" s="16">
        <v>174851.72986495434</v>
      </c>
      <c r="F27" s="16">
        <v>1021877.6108288197</v>
      </c>
      <c r="G27" s="16">
        <v>110714.96606853371</v>
      </c>
      <c r="H27" s="16">
        <v>150312.73742326113</v>
      </c>
      <c r="I27" s="16">
        <v>81686.250472136366</v>
      </c>
      <c r="J27" s="16">
        <v>51936.382090567058</v>
      </c>
      <c r="K27" s="17">
        <f>SUM(B$27:B27)</f>
        <v>215837.70973890935</v>
      </c>
      <c r="L27" s="17">
        <f>SUM(E27,K27)</f>
        <v>390689.43960386369</v>
      </c>
      <c r="M27" s="17">
        <f t="shared" ref="M27:M46" si="4">L27/($Q$9^(A27-$A$3+1))</f>
        <v>379310.13553773175</v>
      </c>
      <c r="N27" s="17">
        <f>(F27*SUM(Costs!$F$4,Costs!$F$5)+G27*SUM(Costs!$F$4,Costs!$F$5,$W46)+H27*Costs!$F$7+I27*Costs!$F$7+J27*Costs!$F$7) /($Q$9^(A27-$A$3+1))</f>
        <v>318550386.39583701</v>
      </c>
      <c r="O27" s="17">
        <f>(F27*SUM(Costs!$F$4,Costs!$F$5)+G27*SUM(Costs!$F$4,Costs!$F$5,$W47)+H27*Costs!$F$7+I27*Costs!$F$7+J27*Costs!$F$7) /($Q$9^(A27-$A$3+1))</f>
        <v>348138604.45487261</v>
      </c>
      <c r="Q27" s="32">
        <f>M$3-M27</f>
        <v>5125.4769050705363</v>
      </c>
      <c r="R27" s="27">
        <f>B$3-B27</f>
        <v>2276.9114125372435</v>
      </c>
      <c r="S27" s="27">
        <f>D$3-D27</f>
        <v>3436.7667655222176</v>
      </c>
      <c r="T27" s="27"/>
      <c r="U27" s="33"/>
      <c r="W27" s="55"/>
    </row>
    <row r="28" spans="1:26" x14ac:dyDescent="0.25">
      <c r="A28" s="14">
        <v>2020</v>
      </c>
      <c r="B28" s="15">
        <v>218099.20714175314</v>
      </c>
      <c r="C28" s="16">
        <v>53483.874962104775</v>
      </c>
      <c r="D28" s="16">
        <v>87493.64548044921</v>
      </c>
      <c r="E28" s="16">
        <v>174232.32581825124</v>
      </c>
      <c r="F28" s="16">
        <v>1043038.9056927687</v>
      </c>
      <c r="G28" s="16">
        <v>108153.7271076878</v>
      </c>
      <c r="H28" s="16">
        <v>149505.64076353755</v>
      </c>
      <c r="I28" s="16">
        <v>79610.173547646322</v>
      </c>
      <c r="J28" s="16">
        <v>49890.420022359875</v>
      </c>
      <c r="K28" s="17">
        <f>SUM(B$27:B28)</f>
        <v>433936.91688066249</v>
      </c>
      <c r="L28" s="17">
        <f>SUM(E28,K28)</f>
        <v>608169.24269891367</v>
      </c>
      <c r="M28" s="17">
        <f t="shared" si="4"/>
        <v>573257.84022896946</v>
      </c>
      <c r="N28" s="17">
        <f>(F28*SUM(Costs!$F$4,Costs!$F$5)+G28*SUM(Costs!$F$4,Costs!$F$5,$W46)+H28*Costs!$F$7+I28*Costs!$F$7+J28*Costs!$F$7) /($Q$9^(A28-$A$3+1))</f>
        <v>312182099.66275918</v>
      </c>
      <c r="O28" s="17">
        <f>(F28*SUM(Costs!$F$4,Costs!$F$5)+G28*SUM(Costs!$F$4,Costs!$F$5,$W47)+H28*Costs!$F$7+I28*Costs!$F$7+J28*Costs!$F$7) /($Q$9^(A28-$A$3+1))</f>
        <v>340243978.49453461</v>
      </c>
      <c r="Q28" s="32">
        <f>M$4-M28</f>
        <v>7049.0747847293969</v>
      </c>
      <c r="R28" s="27">
        <f>B$4-B28</f>
        <v>2217.8851124290086</v>
      </c>
      <c r="S28" s="27">
        <f>D$4-D28</f>
        <v>3533.7669730393536</v>
      </c>
      <c r="T28" s="27"/>
      <c r="U28" s="33"/>
    </row>
    <row r="29" spans="1:26" x14ac:dyDescent="0.25">
      <c r="A29" s="14">
        <v>2021</v>
      </c>
      <c r="B29" s="15">
        <v>221194.95778092707</v>
      </c>
      <c r="C29" s="16">
        <v>53434.073046950587</v>
      </c>
      <c r="D29" s="16">
        <v>87596.482930411526</v>
      </c>
      <c r="E29" s="16">
        <v>174410.14352470372</v>
      </c>
      <c r="F29" s="16">
        <v>1056714.6975709917</v>
      </c>
      <c r="G29" s="16">
        <v>104840.38064739143</v>
      </c>
      <c r="H29" s="16">
        <v>152509.29289851975</v>
      </c>
      <c r="I29" s="16">
        <v>79586.774800875573</v>
      </c>
      <c r="J29" s="16">
        <v>49049.78859313365</v>
      </c>
      <c r="K29" s="17">
        <f>SUM(B$27:B29)</f>
        <v>655131.87466158951</v>
      </c>
      <c r="L29" s="17">
        <f t="shared" ref="L29:L46" si="5">SUM(E29,K29)</f>
        <v>829542.01818629319</v>
      </c>
      <c r="M29" s="17">
        <f t="shared" si="4"/>
        <v>759148.45902617322</v>
      </c>
      <c r="N29" s="17">
        <f>(F29*SUM(Costs!$F$4,Costs!$F$5)+G29*SUM(Costs!$F$4,Costs!$F$5,$W46)+H29*Costs!$F$7+I29*Costs!$F$7+J29*Costs!$F$7) /($Q$9^(A29-$A$3+1))</f>
        <v>305037868.70418626</v>
      </c>
      <c r="O29" s="17">
        <f>(F29*SUM(Costs!$F$4,Costs!$F$5)+G29*SUM(Costs!$F$4,Costs!$F$5,$W47)+H29*Costs!$F$7+I29*Costs!$F$7+J29*Costs!$F$7) /($Q$9^(A29-$A$3+1))</f>
        <v>331447760.33185983</v>
      </c>
      <c r="Q29" s="32">
        <f>M$5-M29</f>
        <v>8797.0518455194542</v>
      </c>
      <c r="R29" s="27">
        <f>B$5-B29</f>
        <v>2147.5493844478333</v>
      </c>
      <c r="S29" s="27">
        <f>D$5-D29</f>
        <v>3612.1472127285087</v>
      </c>
      <c r="T29" s="27"/>
      <c r="U29" s="33"/>
    </row>
    <row r="30" spans="1:26" x14ac:dyDescent="0.25">
      <c r="A30" s="14">
        <v>2022</v>
      </c>
      <c r="B30" s="15">
        <v>224014.64920125576</v>
      </c>
      <c r="C30" s="16">
        <v>53020.860515885448</v>
      </c>
      <c r="D30" s="16">
        <v>87238.384417042311</v>
      </c>
      <c r="E30" s="16">
        <v>174112.26321014846</v>
      </c>
      <c r="F30" s="16">
        <v>1072818.5878960041</v>
      </c>
      <c r="G30" s="16">
        <v>101854.22532752359</v>
      </c>
      <c r="H30" s="16">
        <v>153208.9054924791</v>
      </c>
      <c r="I30" s="16">
        <v>78604.124118824053</v>
      </c>
      <c r="J30" s="16">
        <v>47630.845859684458</v>
      </c>
      <c r="K30" s="17">
        <f>SUM(B$27:B30)</f>
        <v>879146.52386284526</v>
      </c>
      <c r="L30" s="17">
        <f t="shared" si="5"/>
        <v>1053258.7870729938</v>
      </c>
      <c r="M30" s="17">
        <f t="shared" si="4"/>
        <v>935806.7904177435</v>
      </c>
      <c r="N30" s="17">
        <f>(F30*SUM(Costs!$F$4,Costs!$F$5)+G30*SUM(Costs!$F$4,Costs!$F$5,$W46)+H30*Costs!$F$7+I30*Costs!$F$7+J30*Costs!$F$7) /($Q$9^(A30-$A$3+1))</f>
        <v>298138259.56851417</v>
      </c>
      <c r="O30" s="17">
        <f>(F30*SUM(Costs!$F$4,Costs!$F$5)+G30*SUM(Costs!$F$4,Costs!$F$5,$W47)+H30*Costs!$F$7+I30*Costs!$F$7+J30*Costs!$F$7) /($Q$9^(A30-$A$3+1))</f>
        <v>323048611.04444259</v>
      </c>
      <c r="Q30" s="32">
        <f>M$6-M30</f>
        <v>10415.131921197288</v>
      </c>
      <c r="R30" s="27">
        <f>B$6-B30</f>
        <v>2087.2475883889128</v>
      </c>
      <c r="S30" s="27">
        <f>D$6-D30</f>
        <v>3735.0093764085032</v>
      </c>
      <c r="T30" s="27"/>
      <c r="U30" s="33"/>
      <c r="X30" s="47"/>
      <c r="Y30" s="34"/>
      <c r="Z30" s="34"/>
    </row>
    <row r="31" spans="1:26" x14ac:dyDescent="0.25">
      <c r="A31" s="14">
        <v>2023</v>
      </c>
      <c r="B31" s="15">
        <v>226906.54784327556</v>
      </c>
      <c r="C31" s="16">
        <v>52603.424595558645</v>
      </c>
      <c r="D31" s="16">
        <v>86892.10343593084</v>
      </c>
      <c r="E31" s="16">
        <v>173754.32982696552</v>
      </c>
      <c r="F31" s="16">
        <v>1087946.7039414558</v>
      </c>
      <c r="G31" s="16">
        <v>98864.059024752991</v>
      </c>
      <c r="H31" s="16">
        <v>153648.06721583579</v>
      </c>
      <c r="I31" s="16">
        <v>77652.039468178569</v>
      </c>
      <c r="J31" s="16">
        <v>46228.734794119497</v>
      </c>
      <c r="K31" s="17">
        <f>SUM(B$27:B31)</f>
        <v>1106053.0717061209</v>
      </c>
      <c r="L31" s="17">
        <f t="shared" si="5"/>
        <v>1279807.4015330863</v>
      </c>
      <c r="M31" s="17">
        <f t="shared" si="4"/>
        <v>1103973.1068823114</v>
      </c>
      <c r="N31" s="17">
        <f>(F31*SUM(Costs!$F$4,Costs!$F$5)+G31*SUM(Costs!$F$4,Costs!$F$5,$W46)+H31*Costs!$F$7+I31*Costs!$F$7+J31*Costs!$F$7) /($Q$9^(A31-$A$3+1))</f>
        <v>291155984.52920461</v>
      </c>
      <c r="O31" s="17">
        <f>(F31*SUM(Costs!$F$4,Costs!$F$5)+G31*SUM(Costs!$F$4,Costs!$F$5,$W47)+H31*Costs!$F$7+I31*Costs!$F$7+J31*Costs!$F$7) /($Q$9^(A31-$A$3+1))</f>
        <v>314630790.84761423</v>
      </c>
      <c r="Q31" s="32">
        <f>M$7-M31</f>
        <v>11911.917541635223</v>
      </c>
      <c r="R31" s="27">
        <f>B$7-B31</f>
        <v>2033.6498965212959</v>
      </c>
      <c r="S31" s="27">
        <f>D$7-D31</f>
        <v>3885.8874227642373</v>
      </c>
      <c r="T31" s="27"/>
      <c r="U31" s="33"/>
      <c r="X31" s="47"/>
      <c r="Y31" s="34"/>
      <c r="Z31" s="34"/>
    </row>
    <row r="32" spans="1:26" x14ac:dyDescent="0.25">
      <c r="A32" s="14">
        <v>2024</v>
      </c>
      <c r="B32" s="15">
        <v>229860.75010849192</v>
      </c>
      <c r="C32" s="16">
        <v>52182.672572699375</v>
      </c>
      <c r="D32" s="16">
        <v>86577.184961864245</v>
      </c>
      <c r="E32" s="16">
        <v>173352.40329114228</v>
      </c>
      <c r="F32" s="16">
        <v>1102159.7076492857</v>
      </c>
      <c r="G32" s="16">
        <v>95915.108013026591</v>
      </c>
      <c r="H32" s="16">
        <v>153824.13974616327</v>
      </c>
      <c r="I32" s="16">
        <v>76733.26089321592</v>
      </c>
      <c r="J32" s="16">
        <v>44855.67529454975</v>
      </c>
      <c r="K32" s="17">
        <f>SUM(B$27:B32)</f>
        <v>1335913.8218146127</v>
      </c>
      <c r="L32" s="17">
        <f t="shared" si="5"/>
        <v>1509266.225105755</v>
      </c>
      <c r="M32" s="17">
        <f t="shared" si="4"/>
        <v>1263986.7026704382</v>
      </c>
      <c r="N32" s="17">
        <f>(F32*SUM(Costs!$F$4,Costs!$F$5)+G32*SUM(Costs!$F$4,Costs!$F$5,$W46)+H32*Costs!$F$7+I32*Costs!$F$7+J32*Costs!$F$7) /($Q$9^(A32-$A$3+1))</f>
        <v>284137541.40905958</v>
      </c>
      <c r="O32" s="17">
        <f>(F32*SUM(Costs!$F$4,Costs!$F$5)+G32*SUM(Costs!$F$4,Costs!$F$5,$W47)+H32*Costs!$F$7+I32*Costs!$F$7+J32*Costs!$F$7) /($Q$9^(A32-$A$3+1))</f>
        <v>306248795.54095411</v>
      </c>
      <c r="Q32" s="32">
        <f>M$8-M32</f>
        <v>13302.263940992067</v>
      </c>
      <c r="R32" s="27">
        <f>B$8-B32</f>
        <v>1988.7527010276099</v>
      </c>
      <c r="S32" s="27">
        <f>D$8-D32</f>
        <v>4057.7049451053754</v>
      </c>
      <c r="T32" s="27"/>
      <c r="U32" s="33"/>
      <c r="X32" s="47"/>
      <c r="Y32" s="34"/>
      <c r="Z32" s="34"/>
    </row>
    <row r="33" spans="1:25" x14ac:dyDescent="0.25">
      <c r="A33" s="14">
        <v>2025</v>
      </c>
      <c r="B33" s="15">
        <v>232500.94745589225</v>
      </c>
      <c r="C33" s="16">
        <v>51388.054947766555</v>
      </c>
      <c r="D33" s="16">
        <v>85779.119710490661</v>
      </c>
      <c r="E33" s="16">
        <v>172490.15894311367</v>
      </c>
      <c r="F33" s="16">
        <v>1118857.0999892787</v>
      </c>
      <c r="G33" s="16">
        <v>93306.619170400838</v>
      </c>
      <c r="H33" s="16">
        <v>151506.66165389991</v>
      </c>
      <c r="I33" s="16">
        <v>74834.918524888461</v>
      </c>
      <c r="J33" s="16">
        <v>42969.819860630378</v>
      </c>
      <c r="K33" s="17">
        <f>SUM(B$27:B33)</f>
        <v>1568414.7692705051</v>
      </c>
      <c r="L33" s="17">
        <f t="shared" si="5"/>
        <v>1740904.9282136187</v>
      </c>
      <c r="M33" s="17">
        <f t="shared" si="4"/>
        <v>1415515.019186304</v>
      </c>
      <c r="N33" s="17">
        <f>(F33*SUM(Costs!$F$4,Costs!$F$5)+G33*SUM(Costs!$F$4,Costs!$F$5,$W46)+H33*Costs!$F$7+I33*Costs!$F$7+J33*Costs!$F$7) /($Q$9^(A33-$A$3+1))</f>
        <v>277363248.11729747</v>
      </c>
      <c r="O33" s="17">
        <f>(F33*SUM(Costs!$F$4,Costs!$F$5)+G33*SUM(Costs!$F$4,Costs!$F$5,$W47)+H33*Costs!$F$7+I33*Costs!$F$7+J33*Costs!$F$7) /($Q$9^(A33-$A$3+1))</f>
        <v>298246666.28653002</v>
      </c>
      <c r="Q33" s="32">
        <f>M$9-M33</f>
        <v>14606.682115732692</v>
      </c>
      <c r="R33" s="27">
        <f>B$9-B33</f>
        <v>1957.8048645311792</v>
      </c>
      <c r="S33" s="27">
        <f>D$9-D33</f>
        <v>4249.3268427526491</v>
      </c>
      <c r="T33" s="27"/>
      <c r="U33" s="33"/>
    </row>
    <row r="34" spans="1:25" ht="13.8" thickBot="1" x14ac:dyDescent="0.3">
      <c r="A34" s="14">
        <v>2026</v>
      </c>
      <c r="B34" s="15">
        <v>235553.02000314544</v>
      </c>
      <c r="C34" s="16">
        <v>50950.713638272748</v>
      </c>
      <c r="D34" s="16">
        <v>85482.205254742759</v>
      </c>
      <c r="E34" s="16">
        <v>171976.50830683709</v>
      </c>
      <c r="F34" s="16">
        <v>1131081.6594688697</v>
      </c>
      <c r="G34" s="16">
        <v>90471.608947455636</v>
      </c>
      <c r="H34" s="16">
        <v>151160.28089271527</v>
      </c>
      <c r="I34" s="16">
        <v>73943.791555696371</v>
      </c>
      <c r="J34" s="16">
        <v>41661.005818820107</v>
      </c>
      <c r="K34" s="17">
        <f>SUM(B$27:B34)</f>
        <v>1803967.7892736504</v>
      </c>
      <c r="L34" s="17">
        <f t="shared" si="5"/>
        <v>1975944.2975804876</v>
      </c>
      <c r="M34" s="17">
        <f t="shared" si="4"/>
        <v>1559828.6750000003</v>
      </c>
      <c r="N34" s="17">
        <f>(F34*SUM(Costs!$F$4,Costs!$F$5)+G34*SUM(Costs!$F$4,Costs!$F$5,$W46)+H34*Costs!$F$7+I34*Costs!$F$7+J34*Costs!$F$7) /($Q$9^(A34-$A$3+1))</f>
        <v>270282241.32949454</v>
      </c>
      <c r="O34" s="17">
        <f>(F34*SUM(Costs!$F$4,Costs!$F$5)+G34*SUM(Costs!$F$4,Costs!$F$5,$W47)+H34*Costs!$F$7+I34*Costs!$F$7+J34*Costs!$F$7) /($Q$9^(A34-$A$3+1))</f>
        <v>289941367.97150481</v>
      </c>
      <c r="Q34" s="32">
        <f>M$10-M34</f>
        <v>15826.851383492816</v>
      </c>
      <c r="R34" s="27">
        <f>B$10-B34</f>
        <v>1933.5748314271041</v>
      </c>
      <c r="S34" s="27">
        <f>D$10-D34</f>
        <v>4451.245007059566</v>
      </c>
      <c r="T34" s="27"/>
      <c r="U34" s="33"/>
    </row>
    <row r="35" spans="1:25" x14ac:dyDescent="0.25">
      <c r="A35" s="14">
        <v>2027</v>
      </c>
      <c r="B35" s="15">
        <v>239015.71073950792</v>
      </c>
      <c r="C35" s="16">
        <v>50875.508849270453</v>
      </c>
      <c r="D35" s="16">
        <v>85717.042136508229</v>
      </c>
      <c r="E35" s="16">
        <v>171821.56900774091</v>
      </c>
      <c r="F35" s="16">
        <v>1138871.300024309</v>
      </c>
      <c r="G35" s="16">
        <v>87491.615622395446</v>
      </c>
      <c r="H35" s="16">
        <v>152899.97103940853</v>
      </c>
      <c r="I35" s="16">
        <v>74069.813010542057</v>
      </c>
      <c r="J35" s="16">
        <v>40903.907076701566</v>
      </c>
      <c r="K35" s="17">
        <f>SUM(B$27:B35)</f>
        <v>2042983.5000131582</v>
      </c>
      <c r="L35" s="17">
        <f t="shared" si="5"/>
        <v>2214805.069020899</v>
      </c>
      <c r="M35" s="17">
        <f t="shared" si="4"/>
        <v>1697463.6637770985</v>
      </c>
      <c r="N35" s="17">
        <f>(F35*SUM(Costs!$F$4,Costs!$F$5)+G35*SUM(Costs!$F$4,Costs!$F$5,$W$46)+H35*Costs!$F$7+I35*Costs!$F$7+J35*Costs!$F$7) /($Q$9^(A35-$A$3+1))</f>
        <v>262976273.10004264</v>
      </c>
      <c r="O35" s="17">
        <f>(F35*SUM(Costs!$F$4,Costs!$F$5)+G35*SUM(Costs!$F$4,Costs!$F$5,$W$47)+H35*Costs!$F$7+I35*Costs!$F$7+J35*Costs!$F$7) /($Q$9^(A35-$A$3+1))</f>
        <v>281434123.34479725</v>
      </c>
      <c r="Q35" s="32">
        <f>M11-M35</f>
        <v>16975.990405972116</v>
      </c>
      <c r="R35" s="27">
        <f>B11-B35</f>
        <v>1918.6129981941485</v>
      </c>
      <c r="S35" s="27">
        <f>D11-D35</f>
        <v>4670.2032636614167</v>
      </c>
      <c r="T35" s="27"/>
      <c r="U35" s="33"/>
      <c r="W35" s="21" t="s">
        <v>25</v>
      </c>
      <c r="X35" s="48" t="s">
        <v>29</v>
      </c>
    </row>
    <row r="36" spans="1:25" x14ac:dyDescent="0.25">
      <c r="A36" s="14">
        <v>2028</v>
      </c>
      <c r="B36" s="15">
        <v>242154.59176030377</v>
      </c>
      <c r="C36" s="16">
        <v>50430.790300612091</v>
      </c>
      <c r="D36" s="16">
        <v>85489.196844177612</v>
      </c>
      <c r="E36" s="16">
        <v>171238.74223538392</v>
      </c>
      <c r="F36" s="16">
        <v>1149324.7304847571</v>
      </c>
      <c r="G36" s="16">
        <v>84933.535315799178</v>
      </c>
      <c r="H36" s="16">
        <v>152177.69230308538</v>
      </c>
      <c r="I36" s="16">
        <v>73212.864379104562</v>
      </c>
      <c r="J36" s="16">
        <v>39656.351110143376</v>
      </c>
      <c r="K36" s="17">
        <f>SUM(B$27:B36)</f>
        <v>2285138.091773462</v>
      </c>
      <c r="L36" s="17">
        <f t="shared" ref="L36:L45" si="6">SUM(E36,K36)</f>
        <v>2456376.834008846</v>
      </c>
      <c r="M36" s="17">
        <f t="shared" ref="M36:M45" si="7">L36/($Q$9^(A36-$A$3+1))</f>
        <v>1827775.0548792656</v>
      </c>
      <c r="N36" s="17">
        <f>(F36*SUM(Costs!$F$4,Costs!$F$5)+G36*SUM(Costs!$F$4,Costs!$F$5,$W$46)+H36*Costs!$F$7+I36*Costs!$F$7+J36*Costs!$F$7) /($Q$9^(A36-$A$3+1))</f>
        <v>256004151.7351079</v>
      </c>
      <c r="O36" s="17">
        <f>(F36*SUM(Costs!$F$4,Costs!$F$5)+G36*SUM(Costs!$F$4,Costs!$F$5,$W$47)+H36*Costs!$F$7+I36*Costs!$F$7+J36*Costs!$F$7) /($Q$9^(A36-$A$3+1))</f>
        <v>273400442.53565949</v>
      </c>
      <c r="Q36" s="32">
        <f t="shared" ref="Q36:Q45" si="8">M12-M36</f>
        <v>18070.907614412252</v>
      </c>
      <c r="R36" s="27">
        <f t="shared" ref="R36:R45" si="9">B12-B36</f>
        <v>1918.2368899247376</v>
      </c>
      <c r="S36" s="27">
        <f t="shared" ref="S36:S45" si="10">D12-D36</f>
        <v>4907.8224837031739</v>
      </c>
      <c r="T36" s="27"/>
      <c r="U36" s="33"/>
      <c r="W36" s="116"/>
      <c r="X36" s="117"/>
    </row>
    <row r="37" spans="1:25" x14ac:dyDescent="0.25">
      <c r="A37" s="14">
        <v>2029</v>
      </c>
      <c r="B37" s="15">
        <v>245330.65497641111</v>
      </c>
      <c r="C37" s="16">
        <v>49977.304455729369</v>
      </c>
      <c r="D37" s="16">
        <v>85274.302526149404</v>
      </c>
      <c r="E37" s="16">
        <v>170608.89701314532</v>
      </c>
      <c r="F37" s="16">
        <v>1158874.4003438733</v>
      </c>
      <c r="G37" s="16">
        <v>82501.757395178793</v>
      </c>
      <c r="H37" s="16">
        <v>151270.01552770528</v>
      </c>
      <c r="I37" s="16">
        <v>72351.975107929175</v>
      </c>
      <c r="J37" s="16">
        <v>38440.41095400403</v>
      </c>
      <c r="K37" s="17">
        <f>SUM(B$27:B37)</f>
        <v>2530468.7467498733</v>
      </c>
      <c r="L37" s="17">
        <f t="shared" si="6"/>
        <v>2701077.6437630188</v>
      </c>
      <c r="M37" s="17">
        <f t="shared" si="7"/>
        <v>1951315.959599657</v>
      </c>
      <c r="N37" s="17">
        <f>(F37*SUM(Costs!$F$4,Costs!$F$5)+G37*SUM(Costs!$F$4,Costs!$F$5,$W$46)+H37*Costs!$F$7+I37*Costs!$F$7+J37*Costs!$F$7) /($Q$9^(A37-$A$3+1))</f>
        <v>249083625.76515943</v>
      </c>
      <c r="O37" s="17">
        <f>(F37*SUM(Costs!$F$4,Costs!$F$5)+G37*SUM(Costs!$F$4,Costs!$F$5,$W$47)+H37*Costs!$F$7+I37*Costs!$F$7+J37*Costs!$F$7) /($Q$9^(A37-$A$3+1))</f>
        <v>265489653.14693981</v>
      </c>
      <c r="Q37" s="32">
        <f t="shared" si="8"/>
        <v>19118.254700597143</v>
      </c>
      <c r="R37" s="27">
        <f t="shared" si="9"/>
        <v>1929.3400318222411</v>
      </c>
      <c r="S37" s="27">
        <f t="shared" si="10"/>
        <v>5160.9907221153117</v>
      </c>
      <c r="T37" s="27"/>
      <c r="U37" s="33"/>
      <c r="W37" s="116"/>
      <c r="X37" s="117"/>
    </row>
    <row r="38" spans="1:25" x14ac:dyDescent="0.25">
      <c r="A38" s="14">
        <v>2030</v>
      </c>
      <c r="B38" s="15">
        <v>248909.65593929289</v>
      </c>
      <c r="C38" s="16">
        <v>49883.184379379803</v>
      </c>
      <c r="D38" s="16">
        <v>85064.566790240729</v>
      </c>
      <c r="E38" s="16">
        <v>170322.4346453725</v>
      </c>
      <c r="F38" s="16">
        <v>1163939.682126944</v>
      </c>
      <c r="G38" s="16">
        <v>79962.054453814286</v>
      </c>
      <c r="H38" s="16">
        <v>152524.52682596302</v>
      </c>
      <c r="I38" s="16">
        <v>72495.115169903627</v>
      </c>
      <c r="J38" s="16">
        <v>37751.51135422675</v>
      </c>
      <c r="K38" s="17">
        <f>SUM(B$27:B38)</f>
        <v>2779378.4026891664</v>
      </c>
      <c r="L38" s="17">
        <f t="shared" si="6"/>
        <v>2949700.8373345388</v>
      </c>
      <c r="M38" s="17">
        <f t="shared" si="7"/>
        <v>2068860.8198948116</v>
      </c>
      <c r="N38" s="17">
        <f>(F38*SUM(Costs!$F$4,Costs!$F$5)+G38*SUM(Costs!$F$4,Costs!$F$5,$W$46)+H38*Costs!$F$7+I38*Costs!$F$7+J38*Costs!$F$7) /($Q$9^(A38-$A$3+1))</f>
        <v>241988001.16503298</v>
      </c>
      <c r="O38" s="17">
        <f>(F38*SUM(Costs!$F$4,Costs!$F$5)+G38*SUM(Costs!$F$4,Costs!$F$5,$W$47)+H38*Costs!$F$7+I38*Costs!$F$7+J38*Costs!$F$7) /($Q$9^(A38-$A$3+1))</f>
        <v>257425855.95230892</v>
      </c>
      <c r="Q38" s="32">
        <f t="shared" si="8"/>
        <v>20126.654047047952</v>
      </c>
      <c r="R38" s="27">
        <f t="shared" si="9"/>
        <v>1951.4342471490963</v>
      </c>
      <c r="S38" s="27">
        <f t="shared" si="10"/>
        <v>5400.1163186957419</v>
      </c>
      <c r="T38" s="27"/>
      <c r="U38" s="33"/>
      <c r="W38" s="116"/>
      <c r="X38" s="117"/>
    </row>
    <row r="39" spans="1:25" x14ac:dyDescent="0.25">
      <c r="A39" s="14">
        <v>2031</v>
      </c>
      <c r="B39" s="15">
        <v>252518.647052991</v>
      </c>
      <c r="C39" s="16">
        <v>49776.138529341697</v>
      </c>
      <c r="D39" s="16">
        <v>84289.473651229579</v>
      </c>
      <c r="E39" s="16">
        <v>169942.1951986475</v>
      </c>
      <c r="F39" s="16">
        <v>1167633.0321920614</v>
      </c>
      <c r="G39" s="16">
        <v>77517.003239178317</v>
      </c>
      <c r="H39" s="16">
        <v>153516.92220911034</v>
      </c>
      <c r="I39" s="16">
        <v>72642.635885940123</v>
      </c>
      <c r="J39" s="16">
        <v>37084.002940268292</v>
      </c>
      <c r="K39" s="17">
        <f>SUM(B$27:B39)</f>
        <v>3031897.0497421576</v>
      </c>
      <c r="L39" s="17">
        <f t="shared" si="6"/>
        <v>3201839.2449408052</v>
      </c>
      <c r="M39" s="17">
        <f t="shared" si="7"/>
        <v>2180296.7242851863</v>
      </c>
      <c r="N39" s="17">
        <f>(F39*SUM(Costs!$F$4,Costs!$F$5)+G39*SUM(Costs!$F$4,Costs!$F$5,$W$46)+H39*Costs!$F$7+I39*Costs!$F$7+J39*Costs!$F$7) /($Q$9^(A39-$A$3+1))</f>
        <v>234879007.32431817</v>
      </c>
      <c r="O39" s="17">
        <f>(F39*SUM(Costs!$F$4,Costs!$F$5)+G39*SUM(Costs!$F$4,Costs!$F$5,$W$47)+H39*Costs!$F$7+I39*Costs!$F$7+J39*Costs!$F$7) /($Q$9^(A39-$A$3+1))</f>
        <v>249408911.75472668</v>
      </c>
      <c r="Q39" s="32">
        <f t="shared" si="8"/>
        <v>21101.266398610547</v>
      </c>
      <c r="R39" s="27">
        <f t="shared" si="9"/>
        <v>1984.4836692590907</v>
      </c>
      <c r="S39" s="27">
        <f t="shared" si="10"/>
        <v>5611.7403552503674</v>
      </c>
      <c r="T39" s="27"/>
      <c r="U39" s="33"/>
      <c r="W39" s="116"/>
      <c r="X39" s="117"/>
    </row>
    <row r="40" spans="1:25" x14ac:dyDescent="0.25">
      <c r="A40" s="14">
        <v>2032</v>
      </c>
      <c r="B40" s="15">
        <v>256151.91750267689</v>
      </c>
      <c r="C40" s="16">
        <v>49649.915032238903</v>
      </c>
      <c r="D40" s="16">
        <v>83483.977895675474</v>
      </c>
      <c r="E40" s="16">
        <v>169454.02456723584</v>
      </c>
      <c r="F40" s="16">
        <v>1169840.2769380342</v>
      </c>
      <c r="G40" s="16">
        <v>75155.253527054083</v>
      </c>
      <c r="H40" s="16">
        <v>154215.98086751526</v>
      </c>
      <c r="I40" s="16">
        <v>72788.420587634071</v>
      </c>
      <c r="J40" s="16">
        <v>36439.875144748301</v>
      </c>
      <c r="K40" s="17">
        <f>SUM(B$27:B40)</f>
        <v>3288048.9672448346</v>
      </c>
      <c r="L40" s="17">
        <f t="shared" si="6"/>
        <v>3457502.9918120704</v>
      </c>
      <c r="M40" s="17">
        <f t="shared" si="7"/>
        <v>2285816.7915581074</v>
      </c>
      <c r="N40" s="17">
        <f>(F40*SUM(Costs!$F$4,Costs!$F$5)+G40*SUM(Costs!$F$4,Costs!$F$5,$W$46)+H40*Costs!$F$7+I40*Costs!$F$7+J40*Costs!$F$7) /($Q$9^(A40-$A$3+1))</f>
        <v>227745389.96912509</v>
      </c>
      <c r="O40" s="17">
        <f>(F40*SUM(Costs!$F$4,Costs!$F$5)+G40*SUM(Costs!$F$4,Costs!$F$5,$W$47)+H40*Costs!$F$7+I40*Costs!$F$7+J40*Costs!$F$7) /($Q$9^(A40-$A$3+1))</f>
        <v>241422297.24020436</v>
      </c>
      <c r="Q40" s="32">
        <f t="shared" si="8"/>
        <v>22046.299243573099</v>
      </c>
      <c r="R40" s="27">
        <f t="shared" si="9"/>
        <v>2027.1163566085743</v>
      </c>
      <c r="S40" s="27">
        <f>D16-D40</f>
        <v>5829.0675119976222</v>
      </c>
      <c r="T40" s="27"/>
      <c r="U40" s="33"/>
      <c r="W40" s="116"/>
      <c r="X40" s="117"/>
    </row>
    <row r="41" spans="1:25" x14ac:dyDescent="0.25">
      <c r="A41" s="14">
        <v>2033</v>
      </c>
      <c r="B41" s="15">
        <v>259808.17919819162</v>
      </c>
      <c r="C41" s="16">
        <v>49502.204799619358</v>
      </c>
      <c r="D41" s="16">
        <v>82666.497474458796</v>
      </c>
      <c r="E41" s="16">
        <v>168859.7353809402</v>
      </c>
      <c r="F41" s="16">
        <v>1170603.4372294999</v>
      </c>
      <c r="G41" s="16">
        <v>72885.758736613192</v>
      </c>
      <c r="H41" s="16">
        <v>154631.19419121614</v>
      </c>
      <c r="I41" s="16">
        <v>72924.632092818763</v>
      </c>
      <c r="J41" s="16">
        <v>35820.485040827996</v>
      </c>
      <c r="K41" s="17">
        <f>SUM(B$27:B41)</f>
        <v>3547857.1464430261</v>
      </c>
      <c r="L41" s="17">
        <f t="shared" si="6"/>
        <v>3716716.8818239663</v>
      </c>
      <c r="M41" s="17">
        <f t="shared" si="7"/>
        <v>2385619.1356897871</v>
      </c>
      <c r="N41" s="17">
        <f>(F41*SUM(Costs!$F$4,Costs!$F$5)+G41*SUM(Costs!$F$4,Costs!$F$5,$W$46)+H41*Costs!$F$7+I41*Costs!$F$7+J41*Costs!$F$7) /($Q$9^(A41-$A$3+1))</f>
        <v>220610390.78814372</v>
      </c>
      <c r="O41" s="17">
        <f>(F41*SUM(Costs!$F$4,Costs!$F$5)+G41*SUM(Costs!$F$4,Costs!$F$5,$W$47)+H41*Costs!$F$7+I41*Costs!$F$7+J41*Costs!$F$7) /($Q$9^(A41-$A$3+1))</f>
        <v>233487963.55672532</v>
      </c>
      <c r="Q41" s="32">
        <f t="shared" si="8"/>
        <v>22965.575109532103</v>
      </c>
      <c r="R41" s="27">
        <f t="shared" si="9"/>
        <v>2078.5072392650181</v>
      </c>
      <c r="S41" s="27">
        <f t="shared" si="10"/>
        <v>6051.7973086170823</v>
      </c>
      <c r="T41" s="27"/>
      <c r="U41" s="33"/>
      <c r="W41" s="116"/>
      <c r="X41" s="117"/>
    </row>
    <row r="42" spans="1:25" x14ac:dyDescent="0.25">
      <c r="A42" s="14">
        <v>2034</v>
      </c>
      <c r="B42" s="15">
        <v>263487.80853013537</v>
      </c>
      <c r="C42" s="16">
        <v>49331.988498519691</v>
      </c>
      <c r="D42" s="16">
        <v>81841.635166402324</v>
      </c>
      <c r="E42" s="16">
        <v>168161.72471578076</v>
      </c>
      <c r="F42" s="16">
        <v>1169978.9573914022</v>
      </c>
      <c r="G42" s="16">
        <v>70714.961850287553</v>
      </c>
      <c r="H42" s="16">
        <v>154777.66807606214</v>
      </c>
      <c r="I42" s="16">
        <v>73042.342122587885</v>
      </c>
      <c r="J42" s="16">
        <v>35226.517839627741</v>
      </c>
      <c r="K42" s="17">
        <f>SUM(B$27:B42)</f>
        <v>3811344.9549731617</v>
      </c>
      <c r="L42" s="17">
        <f t="shared" si="6"/>
        <v>3979506.6796889426</v>
      </c>
      <c r="M42" s="17">
        <f t="shared" si="7"/>
        <v>2479896.9971877583</v>
      </c>
      <c r="N42" s="17">
        <f>(F42*SUM(Costs!$F$4,Costs!$F$5)+G42*SUM(Costs!$F$4,Costs!$F$5,$W$46)+H42*Costs!$F$7+I42*Costs!$F$7+J42*Costs!$F$7) /($Q$9^(A42-$A$3+1))</f>
        <v>213497007.502455</v>
      </c>
      <c r="O42" s="17">
        <f>(F42*SUM(Costs!$F$4,Costs!$F$5)+G42*SUM(Costs!$F$4,Costs!$F$5,$W$47)+H42*Costs!$F$7+I42*Costs!$F$7+J42*Costs!$F$7) /($Q$9^(A42-$A$3+1))</f>
        <v>225627136.52435941</v>
      </c>
      <c r="Q42" s="32">
        <f t="shared" si="8"/>
        <v>23861.957524843514</v>
      </c>
      <c r="R42" s="27">
        <f t="shared" si="9"/>
        <v>2137.8546601030976</v>
      </c>
      <c r="S42" s="27">
        <f t="shared" si="10"/>
        <v>6278.1447000414919</v>
      </c>
      <c r="T42" s="27"/>
      <c r="U42" s="33"/>
      <c r="W42" s="116"/>
      <c r="X42" s="117"/>
    </row>
    <row r="43" spans="1:25" x14ac:dyDescent="0.25">
      <c r="A43" s="14">
        <v>2035</v>
      </c>
      <c r="B43" s="15">
        <v>267191.95676240511</v>
      </c>
      <c r="C43" s="16">
        <v>49138.726468007335</v>
      </c>
      <c r="D43" s="16">
        <v>81009.614939405961</v>
      </c>
      <c r="E43" s="16">
        <v>167362.39335496153</v>
      </c>
      <c r="F43" s="16">
        <v>1168030.3371869118</v>
      </c>
      <c r="G43" s="16">
        <v>68646.302612091997</v>
      </c>
      <c r="H43" s="16">
        <v>154673.38711712896</v>
      </c>
      <c r="I43" s="16">
        <v>73132.244356930736</v>
      </c>
      <c r="J43" s="16">
        <v>34657.991939363019</v>
      </c>
      <c r="K43" s="17">
        <f>SUM(B$27:B43)</f>
        <v>4078536.9117355668</v>
      </c>
      <c r="L43" s="17">
        <f t="shared" si="6"/>
        <v>4245899.305090528</v>
      </c>
      <c r="M43" s="17">
        <f t="shared" si="7"/>
        <v>2568838.9069806552</v>
      </c>
      <c r="N43" s="17">
        <f>(F43*SUM(Costs!$F$4,Costs!$F$5)+G43*SUM(Costs!$F$4,Costs!$F$5,$W$46)+H43*Costs!$F$7+I43*Costs!$F$7+J43*Costs!$F$7) /($Q$9^(A43-$A$3+1))</f>
        <v>206426507.52963859</v>
      </c>
      <c r="O43" s="17">
        <f>(F43*SUM(Costs!$F$4,Costs!$F$5)+G43*SUM(Costs!$F$4,Costs!$F$5,$W$47)+H43*Costs!$F$7+I43*Costs!$F$7+J43*Costs!$F$7) /($Q$9^(A43-$A$3+1))</f>
        <v>217858818.64289206</v>
      </c>
      <c r="Q43" s="32">
        <f t="shared" si="8"/>
        <v>24737.464150660206</v>
      </c>
      <c r="R43" s="27">
        <f t="shared" si="9"/>
        <v>2204.3153752330109</v>
      </c>
      <c r="S43" s="27">
        <f t="shared" si="10"/>
        <v>6506.3436880320514</v>
      </c>
      <c r="T43" s="27"/>
      <c r="U43" s="33"/>
      <c r="W43" s="116"/>
      <c r="X43" s="117"/>
    </row>
    <row r="44" spans="1:25" x14ac:dyDescent="0.25">
      <c r="A44" s="14">
        <v>2036</v>
      </c>
      <c r="B44" s="15">
        <v>270922.196056001</v>
      </c>
      <c r="C44" s="16">
        <v>48922.064729257872</v>
      </c>
      <c r="D44" s="16">
        <v>80169.34320708146</v>
      </c>
      <c r="E44" s="16">
        <v>166464.06407155827</v>
      </c>
      <c r="F44" s="16">
        <v>1164825.0268624525</v>
      </c>
      <c r="G44" s="16">
        <v>66680.535862924167</v>
      </c>
      <c r="H44" s="16">
        <v>154337.74995724999</v>
      </c>
      <c r="I44" s="16">
        <v>73185.31443866987</v>
      </c>
      <c r="J44" s="16">
        <v>34114.296268080026</v>
      </c>
      <c r="K44" s="17">
        <f>SUM(B$27:B44)</f>
        <v>4349459.1077915682</v>
      </c>
      <c r="L44" s="17">
        <f t="shared" si="6"/>
        <v>4515923.1718631266</v>
      </c>
      <c r="M44" s="17">
        <f t="shared" si="7"/>
        <v>2652628.9195618201</v>
      </c>
      <c r="N44" s="17">
        <f>(F44*SUM(Costs!$F$4,Costs!$F$5)+G44*SUM(Costs!$F$4,Costs!$F$5,$W$46)+H44*Costs!$F$7+I44*Costs!$F$7+J44*Costs!$F$7) /($Q$9^(A44-$A$3+1))</f>
        <v>199418089.80230004</v>
      </c>
      <c r="O44" s="17">
        <f>(F44*SUM(Costs!$F$4,Costs!$F$5)+G44*SUM(Costs!$F$4,Costs!$F$5,$W$47)+H44*Costs!$F$7+I44*Costs!$F$7+J44*Costs!$F$7) /($Q$9^(A44-$A$3+1))</f>
        <v>210199578.7172344</v>
      </c>
      <c r="Q44" s="32">
        <f t="shared" si="8"/>
        <v>25593.404048008379</v>
      </c>
      <c r="R44" s="27">
        <f t="shared" si="9"/>
        <v>2277.0269447282772</v>
      </c>
      <c r="S44" s="27">
        <f t="shared" si="10"/>
        <v>6734.9162080909446</v>
      </c>
      <c r="T44" s="27"/>
      <c r="U44" s="33"/>
      <c r="W44" s="116"/>
      <c r="X44" s="117"/>
    </row>
    <row r="45" spans="1:25" x14ac:dyDescent="0.25">
      <c r="A45" s="14">
        <v>2037</v>
      </c>
      <c r="B45" s="15">
        <v>274680.37849294109</v>
      </c>
      <c r="C45" s="16">
        <v>48681.738527553403</v>
      </c>
      <c r="D45" s="16">
        <v>79319.482849471708</v>
      </c>
      <c r="E45" s="16">
        <v>165469.05416163636</v>
      </c>
      <c r="F45" s="16">
        <v>1160432.8195835901</v>
      </c>
      <c r="G45" s="16">
        <v>64816.241786244122</v>
      </c>
      <c r="H45" s="16">
        <v>153790.65105507796</v>
      </c>
      <c r="I45" s="16">
        <v>73193.341542897208</v>
      </c>
      <c r="J45" s="16">
        <v>33594.256508070808</v>
      </c>
      <c r="K45" s="17">
        <f>SUM(B$27:B45)</f>
        <v>4624139.4862845093</v>
      </c>
      <c r="L45" s="17">
        <f t="shared" si="6"/>
        <v>4789608.5404461455</v>
      </c>
      <c r="M45" s="17">
        <f t="shared" si="7"/>
        <v>2731446.8245154954</v>
      </c>
      <c r="N45" s="17">
        <f>(F45*SUM(Costs!$F$4,Costs!$F$5)+G45*SUM(Costs!$F$4,Costs!$F$5,$W$46)+H45*Costs!$F$7+I45*Costs!$F$7+J45*Costs!$F$7) /($Q$9^(A45-$A$3+1))</f>
        <v>192488901.09553418</v>
      </c>
      <c r="O45" s="17">
        <f>(F45*SUM(Costs!$F$4,Costs!$F$5)+G45*SUM(Costs!$F$4,Costs!$F$5,$W$47)+H45*Costs!$F$7+I45*Costs!$F$7+J45*Costs!$F$7) /($Q$9^(A45-$A$3+1))</f>
        <v>202663710.4509531</v>
      </c>
      <c r="Q45" s="32">
        <f t="shared" si="8"/>
        <v>26430.507782815024</v>
      </c>
      <c r="R45" s="27">
        <f t="shared" si="9"/>
        <v>2355.1392213788349</v>
      </c>
      <c r="S45" s="27">
        <f t="shared" si="10"/>
        <v>6962.6804972062819</v>
      </c>
      <c r="T45" s="27"/>
      <c r="U45" s="33"/>
      <c r="W45" s="116"/>
      <c r="X45" s="117"/>
    </row>
    <row r="46" spans="1:25" ht="13.8" thickBot="1" x14ac:dyDescent="0.3">
      <c r="A46" s="23">
        <v>2038</v>
      </c>
      <c r="B46" s="24">
        <v>278468.58466597128</v>
      </c>
      <c r="C46" s="25">
        <v>48417.553223941642</v>
      </c>
      <c r="D46" s="25">
        <v>78458.846338827047</v>
      </c>
      <c r="E46" s="25">
        <v>164379.78361598938</v>
      </c>
      <c r="F46" s="25">
        <v>1154924.8403722525</v>
      </c>
      <c r="G46" s="25">
        <v>63050.341911088261</v>
      </c>
      <c r="H46" s="25">
        <v>153051.85692052063</v>
      </c>
      <c r="I46" s="25">
        <v>73149.299782491857</v>
      </c>
      <c r="J46" s="25">
        <v>33096.225847524787</v>
      </c>
      <c r="K46" s="26">
        <f>SUM(B$27:B46)</f>
        <v>4902608.0709504802</v>
      </c>
      <c r="L46" s="26">
        <f t="shared" si="5"/>
        <v>5066987.8545664698</v>
      </c>
      <c r="M46" s="26">
        <f t="shared" si="4"/>
        <v>2805468.3218300897</v>
      </c>
      <c r="N46" s="26">
        <f>(F46*SUM(Costs!$F$4,Costs!$F$5)+G46*SUM(Costs!$F$4,Costs!$F$5,$W46)+H46*Costs!$F$7+I46*Costs!$F$7+J46*Costs!$F$7) /($Q$9^(A46-$A$3+1))</f>
        <v>185654157.66375983</v>
      </c>
      <c r="O46" s="26">
        <f>(F46*SUM(Costs!$F$4,Costs!$F$5)+G46*SUM(Costs!$F$4,Costs!$F$5,$W47)+H46*Costs!$F$7+I46*Costs!$F$7+J46*Costs!$F$7) /($Q$9^(A46-$A$3+1))</f>
        <v>195263477.66319463</v>
      </c>
      <c r="Q46" s="35">
        <f>M$22-M46</f>
        <v>27249.043381729163</v>
      </c>
      <c r="R46" s="27">
        <f>B$22-B46</f>
        <v>2437.8391582017648</v>
      </c>
      <c r="S46" s="27">
        <f>D$22-D46</f>
        <v>7188.7147383939737</v>
      </c>
      <c r="T46" s="42"/>
      <c r="U46" s="36"/>
      <c r="W46" s="43">
        <v>185.3</v>
      </c>
      <c r="X46" s="49">
        <f>$Q$6</f>
        <v>500</v>
      </c>
      <c r="Y46" s="22" t="s">
        <v>132</v>
      </c>
    </row>
    <row r="47" spans="1:25" ht="13.8" thickBot="1" x14ac:dyDescent="0.3">
      <c r="A47" s="12" t="s">
        <v>0</v>
      </c>
      <c r="B47" s="6">
        <f t="shared" ref="B47:O47" si="11">SUM(B27:B46)</f>
        <v>4902608.0709504802</v>
      </c>
      <c r="C47" s="6">
        <f>SUM(C27:C46)</f>
        <v>1015914.7118234145</v>
      </c>
      <c r="D47" s="6">
        <f t="shared" si="11"/>
        <v>1688252.406826417</v>
      </c>
      <c r="E47" s="6">
        <f t="shared" si="11"/>
        <v>3413264.4807545086</v>
      </c>
      <c r="F47" s="6">
        <f t="shared" si="11"/>
        <v>22571773.813773561</v>
      </c>
      <c r="G47" s="6">
        <f t="shared" si="11"/>
        <v>1698476.0566194418</v>
      </c>
      <c r="H47" s="6">
        <f t="shared" si="11"/>
        <v>3057543.3421764555</v>
      </c>
      <c r="I47" s="6">
        <f t="shared" si="11"/>
        <v>1498839.3318589118</v>
      </c>
      <c r="J47" s="6">
        <f t="shared" si="11"/>
        <v>811008.50435745146</v>
      </c>
      <c r="K47" s="6">
        <f t="shared" si="11"/>
        <v>49270262.913599849</v>
      </c>
      <c r="L47" s="6">
        <f t="shared" si="11"/>
        <v>52683527.394354373</v>
      </c>
      <c r="M47" s="6">
        <f t="shared" si="11"/>
        <v>35626254.848709404</v>
      </c>
      <c r="N47" s="6">
        <f t="shared" si="11"/>
        <v>5047619133.156971</v>
      </c>
      <c r="O47" s="6">
        <f t="shared" si="11"/>
        <v>5405628544.5023088</v>
      </c>
      <c r="Q47" s="6">
        <f>SUM(Q27:Q46)</f>
        <v>355311.77484617097</v>
      </c>
      <c r="R47" s="37">
        <f>SUM(R27:R46)</f>
        <v>41863.282583178079</v>
      </c>
      <c r="S47" s="37">
        <f>SUM(S27:S46)</f>
        <v>102264.39234118587</v>
      </c>
      <c r="T47" s="18">
        <f>(N47-N$23)/Q47</f>
        <v>500.40769180718968</v>
      </c>
      <c r="U47" s="18">
        <f>(O47-O$23)/Q47</f>
        <v>1508.0000000000009</v>
      </c>
      <c r="W47" s="44">
        <v>460.56418227813754</v>
      </c>
      <c r="X47" s="50">
        <f>$Q$3</f>
        <v>1508</v>
      </c>
      <c r="Y47" s="22" t="s">
        <v>133</v>
      </c>
    </row>
    <row r="48" spans="1:25" x14ac:dyDescent="0.25">
      <c r="E48" s="52"/>
      <c r="K48" s="52"/>
      <c r="L48" s="52"/>
      <c r="M48" s="52"/>
      <c r="N48" s="52"/>
      <c r="Q48" s="52"/>
      <c r="R48" s="52"/>
      <c r="S48" s="52"/>
      <c r="W48" s="52"/>
    </row>
    <row r="49" spans="5:14" x14ac:dyDescent="0.25">
      <c r="E49" s="52"/>
      <c r="F49" s="52"/>
      <c r="G49" s="52"/>
      <c r="K49" s="52"/>
      <c r="L49" s="52"/>
      <c r="M49" s="52"/>
      <c r="N49" s="52"/>
    </row>
    <row r="52" spans="5:14" x14ac:dyDescent="0.25">
      <c r="N52" s="52"/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7"/>
  <sheetViews>
    <sheetView zoomScale="90" zoomScaleNormal="90" workbookViewId="0">
      <pane xSplit="1" ySplit="2" topLeftCell="B3" activePane="bottomRight" state="frozen"/>
      <selection activeCell="U27" sqref="U27"/>
      <selection pane="topRight" activeCell="U27" sqref="U27"/>
      <selection pane="bottomLeft" activeCell="U27" sqref="U27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95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217330.5502909084</v>
      </c>
      <c r="C3" s="16">
        <v>55726.962936687734</v>
      </c>
      <c r="D3" s="16">
        <v>90180.598130251092</v>
      </c>
      <c r="E3" s="16">
        <v>176436.08355527715</v>
      </c>
      <c r="F3" s="16">
        <v>1129368.8215681082</v>
      </c>
      <c r="G3" s="16">
        <v>0</v>
      </c>
      <c r="H3" s="16">
        <v>149639.0049670405</v>
      </c>
      <c r="I3" s="16">
        <v>81431.999568627652</v>
      </c>
      <c r="J3" s="16">
        <v>51851.187938339703</v>
      </c>
      <c r="K3" s="17">
        <f>SUM(B$3:B3)</f>
        <v>217330.5502909084</v>
      </c>
      <c r="L3" s="17">
        <f>SUM(E3,K3)</f>
        <v>393766.63384618552</v>
      </c>
      <c r="M3" s="17">
        <f t="shared" ref="M3:M12" si="0">L3/($Q$9^(A3-$A$3+1))</f>
        <v>382297.70276328688</v>
      </c>
      <c r="N3" s="17">
        <f>(F3*SUM(Costs!$F$4,Costs!$F$5)+G3*SUM(Costs!$F$4,Costs!$F$5,$W26)+H3*Costs!$F$7+I3*Costs!$F$7+J3*Costs!$F$7) /($Q$9^(A3-$A$3+1))</f>
        <v>297751518.05499154</v>
      </c>
      <c r="O3" s="17">
        <f>(F3*SUM(Costs!$F$4,Costs!$F$5)+G3*SUM(Costs!$F$4,Costs!$F$5,$W27)+H3*Costs!$F$7+I3*Costs!$F$7+J3*Costs!$F$7) /($Q$9^(A3-$A$3+1))</f>
        <v>297751518.05499154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219540.07636355233</v>
      </c>
      <c r="C4" s="16">
        <v>54895.251529996967</v>
      </c>
      <c r="D4" s="16">
        <v>89303.699602665336</v>
      </c>
      <c r="E4" s="16">
        <v>175744.70537194342</v>
      </c>
      <c r="F4" s="16">
        <v>1148128.3417227447</v>
      </c>
      <c r="G4" s="16">
        <v>0</v>
      </c>
      <c r="H4" s="16">
        <v>149066.71380847064</v>
      </c>
      <c r="I4" s="16">
        <v>79341.839853768673</v>
      </c>
      <c r="J4" s="16">
        <v>49800.789712044127</v>
      </c>
      <c r="K4" s="17">
        <f>SUM(B$3:B4)</f>
        <v>436870.62665446074</v>
      </c>
      <c r="L4" s="17">
        <f t="shared" ref="L4:L12" si="1">SUM(E4,K4)</f>
        <v>612615.3320264041</v>
      </c>
      <c r="M4" s="17">
        <f t="shared" si="0"/>
        <v>577448.7058407052</v>
      </c>
      <c r="N4" s="17">
        <f>(F4*SUM(Costs!$F$4,Costs!$F$5)+G4*SUM(Costs!$F$4,Costs!$F$5,$W26)+H4*Costs!$F$7+I4*Costs!$F$7+J4*Costs!$F$7) /($Q$9^(A4-$A$3+1))</f>
        <v>292503009.65698928</v>
      </c>
      <c r="O4" s="17">
        <f>(F4*SUM(Costs!$F$4,Costs!$F$5)+G4*SUM(Costs!$F$4,Costs!$F$5,$W27)+H4*Costs!$F$7+I4*Costs!$F$7+J4*Costs!$F$7) /($Q$9^(A4-$A$3+1))</f>
        <v>292503009.65698928</v>
      </c>
    </row>
    <row r="5" spans="1:27" x14ac:dyDescent="0.25">
      <c r="A5" s="14">
        <v>2021</v>
      </c>
      <c r="B5" s="15">
        <v>222572.81493474086</v>
      </c>
      <c r="C5" s="16">
        <v>54783.743386690476</v>
      </c>
      <c r="D5" s="16">
        <v>89420.477838271123</v>
      </c>
      <c r="E5" s="16">
        <v>175849.73973994402</v>
      </c>
      <c r="F5" s="16">
        <v>1158751.6712312256</v>
      </c>
      <c r="G5" s="16">
        <v>0</v>
      </c>
      <c r="H5" s="16">
        <v>152268.75107021848</v>
      </c>
      <c r="I5" s="16">
        <v>79313.383249066435</v>
      </c>
      <c r="J5" s="16">
        <v>48953.505144010902</v>
      </c>
      <c r="K5" s="17">
        <f>SUM(B$3:B5)</f>
        <v>659443.44158920157</v>
      </c>
      <c r="L5" s="17">
        <f t="shared" si="1"/>
        <v>835293.18132914556</v>
      </c>
      <c r="M5" s="17">
        <f t="shared" si="0"/>
        <v>764411.58800793393</v>
      </c>
      <c r="N5" s="17">
        <f>(F5*SUM(Costs!$F$4,Costs!$F$5)+G5*SUM(Costs!$F$4,Costs!$F$5,$W26)+H5*Costs!$F$7+I5*Costs!$F$7+J5*Costs!$F$7) /($Q$9^(A5-$A$3+1))</f>
        <v>286575894.7399016</v>
      </c>
      <c r="O5" s="17">
        <f>(F5*SUM(Costs!$F$4,Costs!$F$5)+G5*SUM(Costs!$F$4,Costs!$F$5,$W27)+H5*Costs!$F$7+I5*Costs!$F$7+J5*Costs!$F$7) /($Q$9^(A5-$A$3+1))</f>
        <v>286575894.7399016</v>
      </c>
      <c r="Q5" s="13" t="s">
        <v>21</v>
      </c>
    </row>
    <row r="6" spans="1:27" x14ac:dyDescent="0.25">
      <c r="A6" s="14">
        <v>2022</v>
      </c>
      <c r="B6" s="15">
        <v>225335.90855615956</v>
      </c>
      <c r="C6" s="16">
        <v>54316.044352677629</v>
      </c>
      <c r="D6" s="16">
        <v>89113.695988223466</v>
      </c>
      <c r="E6" s="16">
        <v>175503.44936778021</v>
      </c>
      <c r="F6" s="16">
        <v>1172206.7818623157</v>
      </c>
      <c r="G6" s="16">
        <v>0</v>
      </c>
      <c r="H6" s="16">
        <v>153153.45953108612</v>
      </c>
      <c r="I6" s="16">
        <v>78348.523916033315</v>
      </c>
      <c r="J6" s="16">
        <v>47529.568896747427</v>
      </c>
      <c r="K6" s="17">
        <f>SUM(B$3:B6)</f>
        <v>884779.35014536115</v>
      </c>
      <c r="L6" s="17">
        <f t="shared" si="1"/>
        <v>1060282.7995131414</v>
      </c>
      <c r="M6" s="17">
        <f t="shared" si="0"/>
        <v>942047.5344952133</v>
      </c>
      <c r="N6" s="17">
        <f>(F6*SUM(Costs!$F$4,Costs!$F$5)+G6*SUM(Costs!$F$4,Costs!$F$5,$W26)+H6*Costs!$F$7+I6*Costs!$F$7+J6*Costs!$F$7) /($Q$9^(A6-$A$3+1))</f>
        <v>280802687.75812882</v>
      </c>
      <c r="O6" s="17">
        <f>(F6*SUM(Costs!$F$4,Costs!$F$5)+G6*SUM(Costs!$F$4,Costs!$F$5,$W27)+H6*Costs!$F$7+I6*Costs!$F$7+J6*Costs!$F$7) /($Q$9^(A6-$A$3+1))</f>
        <v>280802687.75812882</v>
      </c>
      <c r="Q6" s="38">
        <v>500</v>
      </c>
    </row>
    <row r="7" spans="1:27" x14ac:dyDescent="0.25">
      <c r="A7" s="14">
        <v>2023</v>
      </c>
      <c r="B7" s="15">
        <v>228175.01486010474</v>
      </c>
      <c r="C7" s="16">
        <v>53848.57536310867</v>
      </c>
      <c r="D7" s="16">
        <v>88841.163486470134</v>
      </c>
      <c r="E7" s="16">
        <v>175118.36186139131</v>
      </c>
      <c r="F7" s="16">
        <v>1184785.9602890282</v>
      </c>
      <c r="G7" s="16">
        <v>0</v>
      </c>
      <c r="H7" s="16">
        <v>153764.19668018245</v>
      </c>
      <c r="I7" s="16">
        <v>77436.77234109641</v>
      </c>
      <c r="J7" s="16">
        <v>46124.357990608107</v>
      </c>
      <c r="K7" s="17">
        <f>SUM(B$3:B7)</f>
        <v>1112954.3650054659</v>
      </c>
      <c r="L7" s="17">
        <f t="shared" si="1"/>
        <v>1288072.7268668571</v>
      </c>
      <c r="M7" s="17">
        <f t="shared" si="0"/>
        <v>1111102.8491210151</v>
      </c>
      <c r="N7" s="17">
        <f>(F7*SUM(Costs!$F$4,Costs!$F$5)+G7*SUM(Costs!$F$4,Costs!$F$5,$W26)+H7*Costs!$F$7+I7*Costs!$F$7+J7*Costs!$F$7) /($Q$9^(A7-$A$3+1))</f>
        <v>274919806.10548687</v>
      </c>
      <c r="O7" s="17">
        <f>(F7*SUM(Costs!$F$4,Costs!$F$5)+G7*SUM(Costs!$F$4,Costs!$F$5,$W27)+H7*Costs!$F$7+I7*Costs!$F$7+J7*Costs!$F$7) /($Q$9^(A7-$A$3+1))</f>
        <v>274919806.10548687</v>
      </c>
      <c r="R7" s="20"/>
    </row>
    <row r="8" spans="1:27" x14ac:dyDescent="0.25">
      <c r="A8" s="14">
        <v>2024</v>
      </c>
      <c r="B8" s="15">
        <v>231082.106999321</v>
      </c>
      <c r="C8" s="16">
        <v>53383.979305103021</v>
      </c>
      <c r="D8" s="16">
        <v>88615.854178374109</v>
      </c>
      <c r="E8" s="16">
        <v>174712.20565573688</v>
      </c>
      <c r="F8" s="16">
        <v>1196605.4579437799</v>
      </c>
      <c r="G8" s="16">
        <v>0</v>
      </c>
      <c r="H8" s="16">
        <v>154100.0092142889</v>
      </c>
      <c r="I8" s="16">
        <v>76579.744651315283</v>
      </c>
      <c r="J8" s="16">
        <v>44751.186122096929</v>
      </c>
      <c r="K8" s="17">
        <f>SUM(B$3:B8)</f>
        <v>1344036.4720047868</v>
      </c>
      <c r="L8" s="17">
        <f t="shared" si="1"/>
        <v>1518748.6776605237</v>
      </c>
      <c r="M8" s="17">
        <f t="shared" si="0"/>
        <v>1271928.1073998068</v>
      </c>
      <c r="N8" s="17">
        <f>(F8*SUM(Costs!$F$4,Costs!$F$5)+G8*SUM(Costs!$F$4,Costs!$F$5,$W26)+H8*Costs!$F$7+I8*Costs!$F$7+J8*Costs!$F$7) /($Q$9^(A8-$A$3+1))</f>
        <v>268968912.98355478</v>
      </c>
      <c r="O8" s="17">
        <f>(F8*SUM(Costs!$F$4,Costs!$F$5)+G8*SUM(Costs!$F$4,Costs!$F$5,$W27)+H8*Costs!$F$7+I8*Costs!$F$7+J8*Costs!$F$7) /($Q$9^(A8-$A$3+1))</f>
        <v>268968912.98355478</v>
      </c>
      <c r="Q8" s="13" t="s">
        <v>6</v>
      </c>
    </row>
    <row r="9" spans="1:27" x14ac:dyDescent="0.25">
      <c r="A9" s="14">
        <v>2025</v>
      </c>
      <c r="B9" s="15">
        <v>233686.34308532756</v>
      </c>
      <c r="C9" s="16">
        <v>52557.072414389346</v>
      </c>
      <c r="D9" s="16">
        <v>87925.063392117125</v>
      </c>
      <c r="E9" s="16">
        <v>173874.29178704295</v>
      </c>
      <c r="F9" s="16">
        <v>1211368.353213141</v>
      </c>
      <c r="G9" s="16">
        <v>0</v>
      </c>
      <c r="H9" s="16">
        <v>151937.61313017036</v>
      </c>
      <c r="I9" s="16">
        <v>74761.092515846001</v>
      </c>
      <c r="J9" s="16">
        <v>42869.637000554576</v>
      </c>
      <c r="K9" s="17">
        <f>SUM(B$3:B9)</f>
        <v>1577722.8150901145</v>
      </c>
      <c r="L9" s="17">
        <f t="shared" si="1"/>
        <v>1751597.1068771575</v>
      </c>
      <c r="M9" s="17">
        <f t="shared" si="0"/>
        <v>1424208.7388953939</v>
      </c>
      <c r="N9" s="17">
        <f>(F9*SUM(Costs!$F$4,Costs!$F$5)+G9*SUM(Costs!$F$4,Costs!$F$5,$W26)+H9*Costs!$F$7+I9*Costs!$F$7+J9*Costs!$F$7) /($Q$9^(A9-$A$3+1))</f>
        <v>263187119.84292272</v>
      </c>
      <c r="O9" s="17">
        <f>(F9*SUM(Costs!$F$4,Costs!$F$5)+G9*SUM(Costs!$F$4,Costs!$F$5,$W27)+H9*Costs!$F$7+I9*Costs!$F$7+J9*Costs!$F$7) /($Q$9^(A9-$A$3+1))</f>
        <v>263187119.84292272</v>
      </c>
      <c r="Q9" s="19">
        <v>1.03</v>
      </c>
    </row>
    <row r="10" spans="1:27" x14ac:dyDescent="0.25">
      <c r="A10" s="14">
        <v>2026</v>
      </c>
      <c r="B10" s="15">
        <v>236706.01590858589</v>
      </c>
      <c r="C10" s="16">
        <v>52091.328805816891</v>
      </c>
      <c r="D10" s="16">
        <v>87739.557370785522</v>
      </c>
      <c r="E10" s="16">
        <v>173403.96955308312</v>
      </c>
      <c r="F10" s="16">
        <v>1221561.1037212363</v>
      </c>
      <c r="G10" s="16">
        <v>0</v>
      </c>
      <c r="H10" s="16">
        <v>151736.31551540506</v>
      </c>
      <c r="I10" s="16">
        <v>73964.426161373296</v>
      </c>
      <c r="J10" s="16">
        <v>41570.147175373182</v>
      </c>
      <c r="K10" s="17">
        <f>SUM(B$3:B10)</f>
        <v>1814428.8309987003</v>
      </c>
      <c r="L10" s="17">
        <f t="shared" si="1"/>
        <v>1987832.8005517835</v>
      </c>
      <c r="M10" s="17">
        <f t="shared" si="0"/>
        <v>1569213.56902771</v>
      </c>
      <c r="N10" s="17">
        <f>(F10*SUM(Costs!$F$4,Costs!$F$5)+G10*SUM(Costs!$F$4,Costs!$F$5,$W26)+H10*Costs!$F$7+I10*Costs!$F$7+J10*Costs!$F$7) /($Q$9^(A10-$A$3+1))</f>
        <v>257111730.68523216</v>
      </c>
      <c r="O10" s="17">
        <f>(F10*SUM(Costs!$F$4,Costs!$F$5)+G10*SUM(Costs!$F$4,Costs!$F$5,$W27)+H10*Costs!$F$7+I10*Costs!$F$7+J10*Costs!$F$7) /($Q$9^(A10-$A$3+1))</f>
        <v>257111730.68523216</v>
      </c>
    </row>
    <row r="11" spans="1:27" x14ac:dyDescent="0.25">
      <c r="A11" s="14">
        <v>2027</v>
      </c>
      <c r="B11" s="15">
        <v>240141.37988436024</v>
      </c>
      <c r="C11" s="16">
        <v>51993.053720012016</v>
      </c>
      <c r="D11" s="16">
        <v>88093.816928619461</v>
      </c>
      <c r="E11" s="16">
        <v>173313.03570216784</v>
      </c>
      <c r="F11" s="16">
        <v>1227298.9030792012</v>
      </c>
      <c r="G11" s="16">
        <v>0</v>
      </c>
      <c r="H11" s="16">
        <v>153614.64286659312</v>
      </c>
      <c r="I11" s="16">
        <v>74199.802856333437</v>
      </c>
      <c r="J11" s="16">
        <v>40828.950788382404</v>
      </c>
      <c r="K11" s="17">
        <f>SUM(B$3:B11)</f>
        <v>2054570.2108830605</v>
      </c>
      <c r="L11" s="17">
        <f t="shared" si="1"/>
        <v>2227883.2465852285</v>
      </c>
      <c r="M11" s="17">
        <f t="shared" si="0"/>
        <v>1707486.9978909616</v>
      </c>
      <c r="N11" s="17">
        <f>(F11*SUM(Costs!$F$4,Costs!$F$5)+G11*SUM(Costs!$F$4,Costs!$F$5,$W26)+H11*Costs!$F$7+I11*Costs!$F$7+J11*Costs!$F$7) /($Q$9^(A11-$A$3+1))</f>
        <v>250809484.52424288</v>
      </c>
      <c r="O11" s="17">
        <f>(F11*SUM(Costs!$F$4,Costs!$F$5)+G11*SUM(Costs!$F$4,Costs!$F$5,$W27)+H11*Costs!$F$7+I11*Costs!$F$7+J11*Costs!$F$7) /($Q$9^(A11-$A$3+1))</f>
        <v>250809484.52424288</v>
      </c>
    </row>
    <row r="12" spans="1:27" s="27" customFormat="1" x14ac:dyDescent="0.25">
      <c r="A12" s="23">
        <v>2028</v>
      </c>
      <c r="B12" s="24">
        <v>243265.06956842743</v>
      </c>
      <c r="C12" s="25">
        <v>51537.622093063743</v>
      </c>
      <c r="D12" s="25">
        <v>88001.487753140376</v>
      </c>
      <c r="E12" s="25">
        <v>172821.54288257819</v>
      </c>
      <c r="F12" s="25">
        <v>1236254.2473975031</v>
      </c>
      <c r="G12" s="25">
        <v>0</v>
      </c>
      <c r="H12" s="25">
        <v>153032.04849492689</v>
      </c>
      <c r="I12" s="25">
        <v>73456.899015938747</v>
      </c>
      <c r="J12" s="25">
        <v>39603.503473384422</v>
      </c>
      <c r="K12" s="26">
        <f>SUM(B$3:B12)</f>
        <v>2297835.2804514877</v>
      </c>
      <c r="L12" s="26">
        <f t="shared" si="1"/>
        <v>2470656.8233340657</v>
      </c>
      <c r="M12" s="26">
        <f t="shared" si="0"/>
        <v>1838400.7080409518</v>
      </c>
      <c r="N12" s="26">
        <f>(F12*SUM(Costs!$F$4,Costs!$F$5)+G12*SUM(Costs!$F$4,Costs!$F$5,$W26)+H12*Costs!$F$7+I12*Costs!$F$7+J12*Costs!$F$7) /($Q$9^(A12-$A$3+1))</f>
        <v>244759818.84033623</v>
      </c>
      <c r="O12" s="26">
        <f>(F12*SUM(Costs!$F$4,Costs!$F$5)+G12*SUM(Costs!$F$4,Costs!$F$5,$W27)+H12*Costs!$F$7+I12*Costs!$F$7+J12*Costs!$F$7) /($Q$9^(A12-$A$3+1))</f>
        <v>244759818.84033623</v>
      </c>
      <c r="V12" s="28"/>
    </row>
    <row r="13" spans="1:27" x14ac:dyDescent="0.25">
      <c r="A13" s="12" t="s">
        <v>0</v>
      </c>
      <c r="B13" s="6">
        <f>SUM(B3:B12)</f>
        <v>2297835.2804514877</v>
      </c>
      <c r="C13" s="6">
        <f>SUM(C3:C12)</f>
        <v>535133.63390754652</v>
      </c>
      <c r="D13" s="6">
        <f t="shared" ref="D13:O13" si="2">SUM(D3:D12)</f>
        <v>887235.41466891777</v>
      </c>
      <c r="E13" s="6">
        <f t="shared" si="2"/>
        <v>1746777.3854769452</v>
      </c>
      <c r="F13" s="6">
        <f t="shared" si="2"/>
        <v>11886329.642028283</v>
      </c>
      <c r="G13" s="6">
        <f t="shared" si="2"/>
        <v>0</v>
      </c>
      <c r="H13" s="6">
        <f t="shared" si="2"/>
        <v>1522312.7552783825</v>
      </c>
      <c r="I13" s="6">
        <f t="shared" si="2"/>
        <v>768834.48412939918</v>
      </c>
      <c r="J13" s="6">
        <f t="shared" si="2"/>
        <v>453882.83424154174</v>
      </c>
      <c r="K13" s="6">
        <f t="shared" si="2"/>
        <v>12399971.943113547</v>
      </c>
      <c r="L13" s="6">
        <f t="shared" si="2"/>
        <v>14146749.328590492</v>
      </c>
      <c r="M13" s="6">
        <f t="shared" si="2"/>
        <v>11588546.501482978</v>
      </c>
      <c r="N13" s="6">
        <f t="shared" si="2"/>
        <v>2717389983.1917868</v>
      </c>
      <c r="O13" s="6">
        <f t="shared" si="2"/>
        <v>2717389983.1917868</v>
      </c>
      <c r="V13" s="18"/>
    </row>
    <row r="15" spans="1:27" ht="15" x14ac:dyDescent="0.4">
      <c r="B15" s="7" t="s">
        <v>96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215631.22690420327</v>
      </c>
      <c r="C17" s="16">
        <v>54026.302470122311</v>
      </c>
      <c r="D17" s="16">
        <v>87731.229832819794</v>
      </c>
      <c r="E17" s="16">
        <v>174210.10622204779</v>
      </c>
      <c r="F17" s="16">
        <v>1018853.3206417919</v>
      </c>
      <c r="G17" s="16">
        <v>110296.80952619034</v>
      </c>
      <c r="H17" s="16">
        <v>149519.51033960585</v>
      </c>
      <c r="I17" s="16">
        <v>81428.11908735444</v>
      </c>
      <c r="J17" s="16">
        <v>51849.414326050763</v>
      </c>
      <c r="K17" s="17">
        <f>SUM(B$17:B17)</f>
        <v>215631.22690420327</v>
      </c>
      <c r="L17" s="17">
        <f>SUM(E17,K17)</f>
        <v>389841.33312625106</v>
      </c>
      <c r="M17" s="17">
        <f t="shared" ref="M17:M26" si="3">L17/($Q$9^(A17-$A$3+1))</f>
        <v>378486.73119053501</v>
      </c>
      <c r="N17" s="17">
        <f>(F17*SUM(Costs!$F$4,Costs!$F$5)+G17*SUM(Costs!$F$4,Costs!$F$5,$W26)+H17*Costs!$F$7+I17*Costs!$F$7+J17*Costs!$F$7) /($Q$9^(A17-$A$3+1))</f>
        <v>304571929.37434912</v>
      </c>
      <c r="O17" s="17">
        <f>(F17*SUM(Costs!$F$4,Costs!$F$5)+G17*SUM(Costs!$F$4,Costs!$F$5,$W27)+H17*Costs!$F$7+I17*Costs!$F$7+J17*Costs!$F$7) /($Q$9^(A17-$A$3+1))</f>
        <v>316158858.72162277</v>
      </c>
      <c r="Q17" s="32">
        <f>M$3-M17</f>
        <v>3810.9715727518778</v>
      </c>
      <c r="R17" s="27">
        <f>B$3-B17</f>
        <v>1699.3233867051313</v>
      </c>
      <c r="S17" s="27">
        <f>D$3-D17</f>
        <v>2449.3682974312978</v>
      </c>
      <c r="T17" s="27"/>
      <c r="U17" s="33"/>
      <c r="W17" s="55"/>
    </row>
    <row r="18" spans="1:26" x14ac:dyDescent="0.25">
      <c r="A18" s="14">
        <v>2020</v>
      </c>
      <c r="B18" s="15">
        <v>217888.73651886801</v>
      </c>
      <c r="C18" s="16">
        <v>53239.122945770949</v>
      </c>
      <c r="D18" s="16">
        <v>86804.47653951864</v>
      </c>
      <c r="E18" s="16">
        <v>173547.21320907347</v>
      </c>
      <c r="F18" s="16">
        <v>1039683.4060789822</v>
      </c>
      <c r="G18" s="16">
        <v>107687.05298114005</v>
      </c>
      <c r="H18" s="16">
        <v>148711.60651669654</v>
      </c>
      <c r="I18" s="16">
        <v>79323.268961383787</v>
      </c>
      <c r="J18" s="16">
        <v>49794.95448060942</v>
      </c>
      <c r="K18" s="17">
        <f>SUM(B$17:B18)</f>
        <v>433519.96342307131</v>
      </c>
      <c r="L18" s="17">
        <f>SUM(E18,K18)</f>
        <v>607067.17663214472</v>
      </c>
      <c r="M18" s="17">
        <f t="shared" si="3"/>
        <v>572219.03726283787</v>
      </c>
      <c r="N18" s="17">
        <f>(F18*SUM(Costs!$F$4,Costs!$F$5)+G18*SUM(Costs!$F$4,Costs!$F$5,$W26)+H18*Costs!$F$7+I18*Costs!$F$7+J18*Costs!$F$7) /($Q$9^(A18-$A$3+1))</f>
        <v>298811043.52385825</v>
      </c>
      <c r="O18" s="17">
        <f>(F18*SUM(Costs!$F$4,Costs!$F$5)+G18*SUM(Costs!$F$4,Costs!$F$5,$W27)+H18*Costs!$F$7+I18*Costs!$F$7+J18*Costs!$F$7) /($Q$9^(A18-$A$3+1))</f>
        <v>309794313.9302544</v>
      </c>
      <c r="Q18" s="32">
        <f>M$4-M18</f>
        <v>5229.6685778673273</v>
      </c>
      <c r="R18" s="27">
        <f>B$4-B18</f>
        <v>1651.3398446843203</v>
      </c>
      <c r="S18" s="27">
        <f>D$4-D18</f>
        <v>2499.2230631466955</v>
      </c>
      <c r="T18" s="27"/>
      <c r="U18" s="33"/>
    </row>
    <row r="19" spans="1:26" x14ac:dyDescent="0.25">
      <c r="A19" s="14">
        <v>2021</v>
      </c>
      <c r="B19" s="15">
        <v>220978.85437566222</v>
      </c>
      <c r="C19" s="16">
        <v>53180.685238340229</v>
      </c>
      <c r="D19" s="16">
        <v>86884.907288689676</v>
      </c>
      <c r="E19" s="16">
        <v>173678.81060755561</v>
      </c>
      <c r="F19" s="16">
        <v>1053038.5939312873</v>
      </c>
      <c r="G19" s="16">
        <v>104331.50660484582</v>
      </c>
      <c r="H19" s="16">
        <v>151698.6216433332</v>
      </c>
      <c r="I19" s="16">
        <v>79264.675200171594</v>
      </c>
      <c r="J19" s="16">
        <v>48941.951034968501</v>
      </c>
      <c r="K19" s="17">
        <f>SUM(B$17:B19)</f>
        <v>654498.81779873348</v>
      </c>
      <c r="L19" s="17">
        <f t="shared" ref="L19:L26" si="4">SUM(E19,K19)</f>
        <v>828177.62840628903</v>
      </c>
      <c r="M19" s="17">
        <f t="shared" si="3"/>
        <v>757899.84909889568</v>
      </c>
      <c r="N19" s="17">
        <f>(F19*SUM(Costs!$F$4,Costs!$F$5)+G19*SUM(Costs!$F$4,Costs!$F$5,$W26)+H19*Costs!$F$7+I19*Costs!$F$7+J19*Costs!$F$7) /($Q$9^(A19-$A$3+1))</f>
        <v>292334213.10414433</v>
      </c>
      <c r="O19" s="17">
        <f>(F19*SUM(Costs!$F$4,Costs!$F$5)+G19*SUM(Costs!$F$4,Costs!$F$5,$W27)+H19*Costs!$F$7+I19*Costs!$F$7+J19*Costs!$F$7) /($Q$9^(A19-$A$3+1))</f>
        <v>302665310.07940227</v>
      </c>
      <c r="Q19" s="32">
        <f>M$5-M19</f>
        <v>6511.7389090382494</v>
      </c>
      <c r="R19" s="27">
        <f>B$5-B19</f>
        <v>1593.9605590786377</v>
      </c>
      <c r="S19" s="27">
        <f>D$5-D19</f>
        <v>2535.5705495814473</v>
      </c>
      <c r="T19" s="27"/>
      <c r="U19" s="33"/>
    </row>
    <row r="20" spans="1:26" x14ac:dyDescent="0.25">
      <c r="A20" s="14">
        <v>2022</v>
      </c>
      <c r="B20" s="15">
        <v>223792.67104423296</v>
      </c>
      <c r="C20" s="16">
        <v>52758.690934037666</v>
      </c>
      <c r="D20" s="16">
        <v>86509.131705807216</v>
      </c>
      <c r="E20" s="16">
        <v>173334.85270237867</v>
      </c>
      <c r="F20" s="16">
        <v>1068798.9128277746</v>
      </c>
      <c r="G20" s="16">
        <v>101305.0989036645</v>
      </c>
      <c r="H20" s="16">
        <v>152387.13544067071</v>
      </c>
      <c r="I20" s="16">
        <v>78252.53340034165</v>
      </c>
      <c r="J20" s="16">
        <v>47511.094147109296</v>
      </c>
      <c r="K20" s="17">
        <f>SUM(B$17:B20)</f>
        <v>878291.4888429665</v>
      </c>
      <c r="L20" s="17">
        <f t="shared" si="4"/>
        <v>1051626.3415453453</v>
      </c>
      <c r="M20" s="17">
        <f t="shared" si="3"/>
        <v>934356.38370999985</v>
      </c>
      <c r="N20" s="17">
        <f>(F20*SUM(Costs!$F$4,Costs!$F$5)+G20*SUM(Costs!$F$4,Costs!$F$5,$W26)+H20*Costs!$F$7+I20*Costs!$F$7+J20*Costs!$F$7) /($Q$9^(A20-$A$3+1))</f>
        <v>286036684.1468665</v>
      </c>
      <c r="O20" s="17">
        <f>(F20*SUM(Costs!$F$4,Costs!$F$5)+G20*SUM(Costs!$F$4,Costs!$F$5,$W27)+H20*Costs!$F$7+I20*Costs!$F$7+J20*Costs!$F$7) /($Q$9^(A20-$A$3+1))</f>
        <v>295775923.50481385</v>
      </c>
      <c r="Q20" s="32">
        <f>M$6-M20</f>
        <v>7691.1507852134528</v>
      </c>
      <c r="R20" s="27">
        <f>B$6-B20</f>
        <v>1543.2375119265926</v>
      </c>
      <c r="S20" s="27">
        <f>D$6-D20</f>
        <v>2604.5642824162496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226678.24637997389</v>
      </c>
      <c r="C21" s="16">
        <v>52332.08065431568</v>
      </c>
      <c r="D21" s="16">
        <v>86147.443138336777</v>
      </c>
      <c r="E21" s="16">
        <v>172931.1514883152</v>
      </c>
      <c r="F21" s="16">
        <v>1083573.9183438213</v>
      </c>
      <c r="G21" s="16">
        <v>98279.765426929385</v>
      </c>
      <c r="H21" s="16">
        <v>152812.80924701714</v>
      </c>
      <c r="I21" s="16">
        <v>77274.58707058242</v>
      </c>
      <c r="J21" s="16">
        <v>46096.387208371176</v>
      </c>
      <c r="K21" s="17">
        <f>SUM(B$17:B21)</f>
        <v>1104969.7352229403</v>
      </c>
      <c r="L21" s="17">
        <f t="shared" si="4"/>
        <v>1277900.8867112556</v>
      </c>
      <c r="M21" s="17">
        <f t="shared" si="3"/>
        <v>1102328.5304494416</v>
      </c>
      <c r="N21" s="17">
        <f>(F21*SUM(Costs!$F$4,Costs!$F$5)+G21*SUM(Costs!$F$4,Costs!$F$5,$W26)+H21*Costs!$F$7+I21*Costs!$F$7+J21*Costs!$F$7) /($Q$9^(A21-$A$3+1))</f>
        <v>279632075.37497032</v>
      </c>
      <c r="O21" s="17">
        <f>(F21*SUM(Costs!$F$4,Costs!$F$5)+G21*SUM(Costs!$F$4,Costs!$F$5,$W27)+H21*Costs!$F$7+I21*Costs!$F$7+J21*Costs!$F$7) /($Q$9^(A21-$A$3+1))</f>
        <v>288805270.27909589</v>
      </c>
      <c r="Q21" s="32">
        <f>M$7-M21</f>
        <v>8774.3186715734191</v>
      </c>
      <c r="R21" s="27">
        <f>B$7-B21</f>
        <v>1496.7684801308496</v>
      </c>
      <c r="S21" s="27">
        <f>D$7-D21</f>
        <v>2693.7203481333563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229625.96550479322</v>
      </c>
      <c r="C22" s="16">
        <v>51902.011320139172</v>
      </c>
      <c r="D22" s="16">
        <v>85818.385747480817</v>
      </c>
      <c r="E22" s="16">
        <v>172484.17580126095</v>
      </c>
      <c r="F22" s="16">
        <v>1097424.7785117642</v>
      </c>
      <c r="G22" s="16">
        <v>95300.423633262355</v>
      </c>
      <c r="H22" s="16">
        <v>152973.13610403312</v>
      </c>
      <c r="I22" s="16">
        <v>76334.209269689323</v>
      </c>
      <c r="J22" s="16">
        <v>44710.450975177453</v>
      </c>
      <c r="K22" s="17">
        <f>SUM(B$17:B22)</f>
        <v>1334595.7007277336</v>
      </c>
      <c r="L22" s="17">
        <f t="shared" si="4"/>
        <v>1507079.8765289944</v>
      </c>
      <c r="M22" s="17">
        <f t="shared" si="3"/>
        <v>1262155.6701577785</v>
      </c>
      <c r="N22" s="17">
        <f>(F22*SUM(Costs!$F$4,Costs!$F$5)+G22*SUM(Costs!$F$4,Costs!$F$5,$W26)+H22*Costs!$F$7+I22*Costs!$F$7+J22*Costs!$F$7) /($Q$9^(A22-$A$3+1))</f>
        <v>273163390.90559536</v>
      </c>
      <c r="O22" s="17">
        <f>(F22*SUM(Costs!$F$4,Costs!$F$5)+G22*SUM(Costs!$F$4,Costs!$F$5,$W27)+H22*Costs!$F$7+I22*Costs!$F$7+J22*Costs!$F$7) /($Q$9^(A22-$A$3+1))</f>
        <v>281799420.38928771</v>
      </c>
      <c r="Q22" s="32">
        <f>M$8-M22</f>
        <v>9772.4372420283034</v>
      </c>
      <c r="R22" s="27">
        <f>B$8-B22</f>
        <v>1456.1414945277793</v>
      </c>
      <c r="S22" s="27">
        <f>D$8-D22</f>
        <v>2797.468430893292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232260.85667504865</v>
      </c>
      <c r="C23" s="16">
        <v>51099.242236522921</v>
      </c>
      <c r="D23" s="16">
        <v>85010.085830824624</v>
      </c>
      <c r="E23" s="16">
        <v>171579.48183777177</v>
      </c>
      <c r="F23" s="16">
        <v>1113738.3035074137</v>
      </c>
      <c r="G23" s="16">
        <v>92664.594688356388</v>
      </c>
      <c r="H23" s="16">
        <v>150648.21177183004</v>
      </c>
      <c r="I23" s="16">
        <v>74423.408451854732</v>
      </c>
      <c r="J23" s="16">
        <v>42813.922365096805</v>
      </c>
      <c r="K23" s="17">
        <f>SUM(B$17:B23)</f>
        <v>1566856.5574027821</v>
      </c>
      <c r="L23" s="17">
        <f t="shared" si="4"/>
        <v>1738436.039240554</v>
      </c>
      <c r="M23" s="17">
        <f t="shared" si="3"/>
        <v>1413507.5865198558</v>
      </c>
      <c r="N23" s="17">
        <f>(F23*SUM(Costs!$F$4,Costs!$F$5)+G23*SUM(Costs!$F$4,Costs!$F$5,$W26)+H23*Costs!$F$7+I23*Costs!$F$7+J23*Costs!$F$7) /($Q$9^(A23-$A$3+1))</f>
        <v>266882227.6991365</v>
      </c>
      <c r="O23" s="17">
        <f>(F23*SUM(Costs!$F$4,Costs!$F$5)+G23*SUM(Costs!$F$4,Costs!$F$5,$W27)+H23*Costs!$F$7+I23*Costs!$F$7+J23*Costs!$F$7) /($Q$9^(A23-$A$3+1))</f>
        <v>275034823.12595558</v>
      </c>
      <c r="Q23" s="32">
        <f>M$9-M23</f>
        <v>10701.152375538135</v>
      </c>
      <c r="R23" s="27">
        <f>B$9-B23</f>
        <v>1425.4864102789143</v>
      </c>
      <c r="S23" s="27">
        <f>D$9-D23</f>
        <v>2914.9775612925005</v>
      </c>
      <c r="T23" s="27"/>
      <c r="U23" s="33"/>
    </row>
    <row r="24" spans="1:26" ht="13.8" thickBot="1" x14ac:dyDescent="0.3">
      <c r="A24" s="14">
        <v>2026</v>
      </c>
      <c r="B24" s="15">
        <v>235306.74504877892</v>
      </c>
      <c r="C24" s="16">
        <v>50652.835585677043</v>
      </c>
      <c r="D24" s="16">
        <v>84700.970822595045</v>
      </c>
      <c r="E24" s="16">
        <v>171023.38094468234</v>
      </c>
      <c r="F24" s="16">
        <v>1125590.0544535362</v>
      </c>
      <c r="G24" s="16">
        <v>89808.726456050164</v>
      </c>
      <c r="H24" s="16">
        <v>150281.92757465816</v>
      </c>
      <c r="I24" s="16">
        <v>73518.800748165813</v>
      </c>
      <c r="J24" s="16">
        <v>41492.961684086506</v>
      </c>
      <c r="K24" s="17">
        <f>SUM(B$17:B24)</f>
        <v>1802163.302451561</v>
      </c>
      <c r="L24" s="17">
        <f t="shared" si="4"/>
        <v>1973186.6833962433</v>
      </c>
      <c r="M24" s="17">
        <f t="shared" si="3"/>
        <v>1557651.7888982829</v>
      </c>
      <c r="N24" s="17">
        <f>(F24*SUM(Costs!$F$4,Costs!$F$5)+G24*SUM(Costs!$F$4,Costs!$F$5,$W26)+H24*Costs!$F$7+I24*Costs!$F$7+J24*Costs!$F$7) /($Q$9^(A24-$A$3+1))</f>
        <v>260298283.79335892</v>
      </c>
      <c r="O24" s="17">
        <f>(F24*SUM(Costs!$F$4,Costs!$F$5)+G24*SUM(Costs!$F$4,Costs!$F$5,$W27)+H24*Costs!$F$7+I24*Costs!$F$7+J24*Costs!$F$7) /($Q$9^(A24-$A$3+1))</f>
        <v>267969484.99465895</v>
      </c>
      <c r="Q24" s="32">
        <f>M$10-M24</f>
        <v>11561.78012942709</v>
      </c>
      <c r="R24" s="27">
        <f>B$10-B24</f>
        <v>1399.270859806973</v>
      </c>
      <c r="S24" s="27">
        <f>D$10-D24</f>
        <v>3038.5865481904766</v>
      </c>
      <c r="T24" s="27"/>
      <c r="U24" s="33"/>
    </row>
    <row r="25" spans="1:26" x14ac:dyDescent="0.25">
      <c r="A25" s="14">
        <v>2027</v>
      </c>
      <c r="B25" s="15">
        <v>238762.02885751493</v>
      </c>
      <c r="C25" s="16">
        <v>50567.280312266463</v>
      </c>
      <c r="D25" s="16">
        <v>84920.760226107494</v>
      </c>
      <c r="E25" s="16">
        <v>170825.3830742717</v>
      </c>
      <c r="F25" s="16">
        <v>1133021.360292027</v>
      </c>
      <c r="G25" s="16">
        <v>86813.286134002105</v>
      </c>
      <c r="H25" s="16">
        <v>151987.3311307629</v>
      </c>
      <c r="I25" s="16">
        <v>73628.873189829334</v>
      </c>
      <c r="J25" s="16">
        <v>40722.084820926961</v>
      </c>
      <c r="K25" s="17">
        <f>SUM(B$17:B25)</f>
        <v>2040925.3313090759</v>
      </c>
      <c r="L25" s="17">
        <f t="shared" si="4"/>
        <v>2211750.7143833474</v>
      </c>
      <c r="M25" s="17">
        <f t="shared" si="3"/>
        <v>1695122.7552763678</v>
      </c>
      <c r="N25" s="17">
        <f>(F25*SUM(Costs!$F$4,Costs!$F$5)+G25*SUM(Costs!$F$4,Costs!$F$5,$W26)+H25*Costs!$F$7+I25*Costs!$F$7+J25*Costs!$F$7) /($Q$9^(A25-$A$3+1))</f>
        <v>253484368.95632529</v>
      </c>
      <c r="O25" s="17">
        <f>(F25*SUM(Costs!$F$4,Costs!$F$5)+G25*SUM(Costs!$F$4,Costs!$F$5,$W27)+H25*Costs!$F$7+I25*Costs!$F$7+J25*Costs!$F$7) /($Q$9^(A25-$A$3+1))</f>
        <v>260683727.56603903</v>
      </c>
      <c r="Q25" s="32">
        <f>M$11-M25</f>
        <v>12364.242614593823</v>
      </c>
      <c r="R25" s="27">
        <f>B$11-B25</f>
        <v>1379.3510268453101</v>
      </c>
      <c r="S25" s="27">
        <f>D$11-D25</f>
        <v>3173.0567025119672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241895.00538346107</v>
      </c>
      <c r="C26" s="25">
        <v>50113.633850753831</v>
      </c>
      <c r="D26" s="25">
        <v>84680.980544868595</v>
      </c>
      <c r="E26" s="25">
        <v>170202.07951402213</v>
      </c>
      <c r="F26" s="25">
        <v>1143097.1068221182</v>
      </c>
      <c r="G26" s="25">
        <v>84240.368269098166</v>
      </c>
      <c r="H26" s="25">
        <v>151240.91218797275</v>
      </c>
      <c r="I26" s="25">
        <v>72763.454484492511</v>
      </c>
      <c r="J26" s="25">
        <v>39463.975553705386</v>
      </c>
      <c r="K26" s="26">
        <f>SUM(B$17:B26)</f>
        <v>2282820.3366925372</v>
      </c>
      <c r="L26" s="26">
        <f t="shared" si="4"/>
        <v>2453022.4162065592</v>
      </c>
      <c r="M26" s="26">
        <f t="shared" si="3"/>
        <v>1825279.0530045626</v>
      </c>
      <c r="N26" s="26">
        <f>(F26*SUM(Costs!$F$4,Costs!$F$5)+G26*SUM(Costs!$F$4,Costs!$F$5,$W26)+H26*Costs!$F$7+I26*Costs!$F$7+J26*Costs!$F$7) /($Q$9^(A26-$A$3+1))</f>
        <v>246945324.27039233</v>
      </c>
      <c r="O26" s="26">
        <f>(F26*SUM(Costs!$F$4,Costs!$F$5)+G26*SUM(Costs!$F$4,Costs!$F$5,$W27)+H26*Costs!$F$7+I26*Costs!$F$7+J26*Costs!$F$7) /($Q$9^(A26-$A$3+1))</f>
        <v>253727837.39960286</v>
      </c>
      <c r="Q26" s="35">
        <f>M$12-M26</f>
        <v>13121.655036389129</v>
      </c>
      <c r="R26" s="27">
        <f>B$12-B26</f>
        <v>1370.0641849663516</v>
      </c>
      <c r="S26" s="27">
        <f>D$12-D26</f>
        <v>3320.5072082717816</v>
      </c>
      <c r="T26" s="42"/>
      <c r="U26" s="36"/>
      <c r="W26" s="43">
        <v>64.329496663754128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2282820.3366925372</v>
      </c>
      <c r="C27" s="6">
        <f>SUM(C17:C26)</f>
        <v>519871.88554794627</v>
      </c>
      <c r="D27" s="6">
        <f t="shared" si="5"/>
        <v>859208.37167704874</v>
      </c>
      <c r="E27" s="6">
        <f t="shared" si="5"/>
        <v>1723816.6354013798</v>
      </c>
      <c r="F27" s="6">
        <f t="shared" si="5"/>
        <v>10876819.755410517</v>
      </c>
      <c r="G27" s="6">
        <f t="shared" si="5"/>
        <v>970727.63262353931</v>
      </c>
      <c r="H27" s="6">
        <f t="shared" si="5"/>
        <v>1512261.2019565802</v>
      </c>
      <c r="I27" s="6">
        <f t="shared" si="5"/>
        <v>766211.9298638656</v>
      </c>
      <c r="J27" s="6">
        <f t="shared" si="5"/>
        <v>453397.19659610232</v>
      </c>
      <c r="K27" s="6">
        <f t="shared" si="5"/>
        <v>12314272.460775606</v>
      </c>
      <c r="L27" s="6">
        <f t="shared" si="5"/>
        <v>14038089.096176984</v>
      </c>
      <c r="M27" s="6">
        <f t="shared" si="5"/>
        <v>11499007.385568557</v>
      </c>
      <c r="N27" s="6">
        <f t="shared" si="5"/>
        <v>2762159541.1489973</v>
      </c>
      <c r="O27" s="6">
        <f t="shared" si="5"/>
        <v>2852414969.9907331</v>
      </c>
      <c r="Q27" s="6">
        <f>SUM(Q17:Q26)</f>
        <v>89539.115914420807</v>
      </c>
      <c r="R27" s="37">
        <f>SUM(R17:R26)</f>
        <v>15014.94375895086</v>
      </c>
      <c r="S27" s="37">
        <f>SUM(S17:S26)</f>
        <v>28027.042991869064</v>
      </c>
      <c r="T27" s="18">
        <f>(N27-N$13)/Q27</f>
        <v>500.00000000000153</v>
      </c>
      <c r="U27" s="18">
        <f>(O27-O$13)/Q27</f>
        <v>1507.9999999999977</v>
      </c>
      <c r="W27" s="44">
        <v>172.53332666536454</v>
      </c>
      <c r="X27" s="50">
        <f>$Q$3</f>
        <v>1508</v>
      </c>
      <c r="Y27" s="22" t="s">
        <v>61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zoomScale="90" zoomScaleNormal="90" workbookViewId="0">
      <pane xSplit="1" ySplit="2" topLeftCell="B3" activePane="bottomRight" state="frozen"/>
      <selection activeCell="U27" sqref="U27"/>
      <selection pane="topRight" activeCell="U27" sqref="U27"/>
      <selection pane="bottomLeft" activeCell="U27" sqref="U27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2" width="13.33203125" style="6" bestFit="1" customWidth="1"/>
    <col min="3" max="3" width="13.33203125" style="6" customWidth="1"/>
    <col min="4" max="4" width="13.33203125" style="6" bestFit="1" customWidth="1"/>
    <col min="5" max="5" width="13.44140625" style="6" bestFit="1" customWidth="1"/>
    <col min="6" max="10" width="13.44140625" style="6" customWidth="1"/>
    <col min="11" max="11" width="13.33203125" style="6" customWidth="1"/>
    <col min="12" max="12" width="14.33203125" style="6" bestFit="1" customWidth="1"/>
    <col min="13" max="13" width="18.44140625" style="6" bestFit="1" customWidth="1"/>
    <col min="14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8" width="14.6640625" style="6" customWidth="1"/>
    <col min="19" max="19" width="14.6640625" style="6" bestFit="1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bestFit="1" customWidth="1"/>
    <col min="24" max="24" width="11.33203125" style="45" bestFit="1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98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218903.56696513362</v>
      </c>
      <c r="C3" s="16">
        <v>57363.305657159639</v>
      </c>
      <c r="D3" s="16">
        <v>93584.551828378491</v>
      </c>
      <c r="E3" s="16">
        <v>179303.57849798317</v>
      </c>
      <c r="F3" s="16">
        <v>1136704.0488201531</v>
      </c>
      <c r="G3" s="16">
        <v>0</v>
      </c>
      <c r="H3" s="16">
        <v>151367.43427252976</v>
      </c>
      <c r="I3" s="16">
        <v>81972.857980841305</v>
      </c>
      <c r="J3" s="16">
        <v>52032.830891204605</v>
      </c>
      <c r="K3" s="17">
        <f>SUM(B$3:B3)</f>
        <v>218903.56696513362</v>
      </c>
      <c r="L3" s="17">
        <f>SUM(E3,K3)</f>
        <v>398207.14546311682</v>
      </c>
      <c r="M3" s="17">
        <f t="shared" ref="M3:M12" si="0">L3/($Q$9^(A3-$A$3+1))</f>
        <v>386608.87909040466</v>
      </c>
      <c r="N3" s="17">
        <f>(F3*SUM(Costs!$F$4,Costs!$F$5)+G3*SUM(Costs!$F$4,Costs!$F$5,$W26)+H3*Costs!$F$7+I3*Costs!$F$7+J3*Costs!$F$7) /($Q$9^(A3-$A$3+1))</f>
        <v>299777893.91437441</v>
      </c>
      <c r="O3" s="17">
        <f>(F3*SUM(Costs!$F$4,Costs!$F$5)+G3*SUM(Costs!$F$4,Costs!$F$5,$W27)+H3*Costs!$F$7+I3*Costs!$F$7+J3*Costs!$F$7) /($Q$9^(A3-$A$3+1))</f>
        <v>299777893.91437441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221101.99808775273</v>
      </c>
      <c r="C4" s="16">
        <v>56529.347572747356</v>
      </c>
      <c r="D4" s="16">
        <v>92837.989512290442</v>
      </c>
      <c r="E4" s="16">
        <v>178727.97665937521</v>
      </c>
      <c r="F4" s="16">
        <v>1156902.4717278178</v>
      </c>
      <c r="G4" s="16">
        <v>0</v>
      </c>
      <c r="H4" s="16">
        <v>151019.91519996428</v>
      </c>
      <c r="I4" s="16">
        <v>79973.972313707549</v>
      </c>
      <c r="J4" s="16">
        <v>50008.12921819734</v>
      </c>
      <c r="K4" s="17">
        <f>SUM(B$3:B4)</f>
        <v>440005.56505288638</v>
      </c>
      <c r="L4" s="17">
        <f t="shared" ref="L4:L12" si="1">SUM(E4,K4)</f>
        <v>618733.54171226162</v>
      </c>
      <c r="M4" s="17">
        <f t="shared" si="0"/>
        <v>583215.70526181697</v>
      </c>
      <c r="N4" s="17">
        <f>(F4*SUM(Costs!$F$4,Costs!$F$5)+G4*SUM(Costs!$F$4,Costs!$F$5,$W26)+H4*Costs!$F$7+I4*Costs!$F$7+J4*Costs!$F$7) /($Q$9^(A4-$A$3+1))</f>
        <v>294835933.13443619</v>
      </c>
      <c r="O4" s="17">
        <f>(F4*SUM(Costs!$F$4,Costs!$F$5)+G4*SUM(Costs!$F$4,Costs!$F$5,$W27)+H4*Costs!$F$7+I4*Costs!$F$7+J4*Costs!$F$7) /($Q$9^(A4-$A$3+1))</f>
        <v>294835933.13443619</v>
      </c>
    </row>
    <row r="5" spans="1:27" x14ac:dyDescent="0.25">
      <c r="A5" s="14">
        <v>2021</v>
      </c>
      <c r="B5" s="15">
        <v>224123.75037207431</v>
      </c>
      <c r="C5" s="16">
        <v>56416.116497766343</v>
      </c>
      <c r="D5" s="16">
        <v>93098.117376179391</v>
      </c>
      <c r="E5" s="16">
        <v>178963.00587202987</v>
      </c>
      <c r="F5" s="16">
        <v>1169030.9290869825</v>
      </c>
      <c r="G5" s="16">
        <v>0</v>
      </c>
      <c r="H5" s="16">
        <v>154474.26710496095</v>
      </c>
      <c r="I5" s="16">
        <v>80063.489928976793</v>
      </c>
      <c r="J5" s="16">
        <v>49196.51862194523</v>
      </c>
      <c r="K5" s="17">
        <f>SUM(B$3:B5)</f>
        <v>664129.31542496069</v>
      </c>
      <c r="L5" s="17">
        <f t="shared" si="1"/>
        <v>843092.32129699062</v>
      </c>
      <c r="M5" s="17">
        <f t="shared" si="0"/>
        <v>771548.90589963517</v>
      </c>
      <c r="N5" s="17">
        <f>(F5*SUM(Costs!$F$4,Costs!$F$5)+G5*SUM(Costs!$F$4,Costs!$F$5,$W26)+H5*Costs!$F$7+I5*Costs!$F$7+J5*Costs!$F$7) /($Q$9^(A5-$A$3+1))</f>
        <v>289219016.9021526</v>
      </c>
      <c r="O5" s="17">
        <f>(F5*SUM(Costs!$F$4,Costs!$F$5)+G5*SUM(Costs!$F$4,Costs!$F$5,$W27)+H5*Costs!$F$7+I5*Costs!$F$7+J5*Costs!$F$7) /($Q$9^(A5-$A$3+1))</f>
        <v>289219016.9021526</v>
      </c>
      <c r="Q5" s="13" t="s">
        <v>21</v>
      </c>
    </row>
    <row r="6" spans="1:27" x14ac:dyDescent="0.25">
      <c r="A6" s="14">
        <v>2022</v>
      </c>
      <c r="B6" s="15">
        <v>226883.57577304775</v>
      </c>
      <c r="C6" s="16">
        <v>55954.808238118385</v>
      </c>
      <c r="D6" s="16">
        <v>92949.351015819324</v>
      </c>
      <c r="E6" s="16">
        <v>178770.09589544547</v>
      </c>
      <c r="F6" s="16">
        <v>1184147.8857294221</v>
      </c>
      <c r="G6" s="16">
        <v>0</v>
      </c>
      <c r="H6" s="16">
        <v>155591.18009554705</v>
      </c>
      <c r="I6" s="16">
        <v>79218.349295877619</v>
      </c>
      <c r="J6" s="16">
        <v>47809.424059830824</v>
      </c>
      <c r="K6" s="17">
        <f>SUM(B$3:B6)</f>
        <v>891012.89119800844</v>
      </c>
      <c r="L6" s="17">
        <f t="shared" si="1"/>
        <v>1069782.987093454</v>
      </c>
      <c r="M6" s="17">
        <f t="shared" si="0"/>
        <v>950488.32811309048</v>
      </c>
      <c r="N6" s="17">
        <f>(F6*SUM(Costs!$F$4,Costs!$F$5)+G6*SUM(Costs!$F$4,Costs!$F$5,$W26)+H6*Costs!$F$7+I6*Costs!$F$7+J6*Costs!$F$7) /($Q$9^(A6-$A$3+1))</f>
        <v>283765980.65992737</v>
      </c>
      <c r="O6" s="17">
        <f>(F6*SUM(Costs!$F$4,Costs!$F$5)+G6*SUM(Costs!$F$4,Costs!$F$5,$W27)+H6*Costs!$F$7+I6*Costs!$F$7+J6*Costs!$F$7) /($Q$9^(A6-$A$3+1))</f>
        <v>283765980.65992737</v>
      </c>
      <c r="Q6" s="38">
        <v>500</v>
      </c>
    </row>
    <row r="7" spans="1:27" x14ac:dyDescent="0.25">
      <c r="A7" s="14">
        <v>2023</v>
      </c>
      <c r="B7" s="15">
        <v>229725.65610762103</v>
      </c>
      <c r="C7" s="16">
        <v>55500.35924011816</v>
      </c>
      <c r="D7" s="16">
        <v>92846.73503289542</v>
      </c>
      <c r="E7" s="16">
        <v>178558.89790100398</v>
      </c>
      <c r="F7" s="16">
        <v>1198518.2244806946</v>
      </c>
      <c r="G7" s="16">
        <v>0</v>
      </c>
      <c r="H7" s="16">
        <v>156435.78095768299</v>
      </c>
      <c r="I7" s="16">
        <v>78433.529021141978</v>
      </c>
      <c r="J7" s="16">
        <v>46445.668940452859</v>
      </c>
      <c r="K7" s="17">
        <f>SUM(B$3:B7)</f>
        <v>1120738.5473056296</v>
      </c>
      <c r="L7" s="17">
        <f t="shared" si="1"/>
        <v>1299297.4452066335</v>
      </c>
      <c r="M7" s="17">
        <f t="shared" si="0"/>
        <v>1120785.3897631443</v>
      </c>
      <c r="N7" s="17">
        <f>(F7*SUM(Costs!$F$4,Costs!$F$5)+G7*SUM(Costs!$F$4,Costs!$F$5,$W26)+H7*Costs!$F$7+I7*Costs!$F$7+J7*Costs!$F$7) /($Q$9^(A7-$A$3+1))</f>
        <v>278210134.64055341</v>
      </c>
      <c r="O7" s="17">
        <f>(F7*SUM(Costs!$F$4,Costs!$F$5)+G7*SUM(Costs!$F$4,Costs!$F$5,$W27)+H7*Costs!$F$7+I7*Costs!$F$7+J7*Costs!$F$7) /($Q$9^(A7-$A$3+1))</f>
        <v>278210134.64055341</v>
      </c>
      <c r="R7" s="20"/>
    </row>
    <row r="8" spans="1:27" x14ac:dyDescent="0.25">
      <c r="A8" s="14">
        <v>2024</v>
      </c>
      <c r="B8" s="15">
        <v>232642.14611204367</v>
      </c>
      <c r="C8" s="16">
        <v>55055.599722176208</v>
      </c>
      <c r="D8" s="16">
        <v>92802.304801601698</v>
      </c>
      <c r="E8" s="16">
        <v>178346.88701441736</v>
      </c>
      <c r="F8" s="16">
        <v>1212267.4209111244</v>
      </c>
      <c r="G8" s="16">
        <v>0</v>
      </c>
      <c r="H8" s="16">
        <v>157006.6333516328</v>
      </c>
      <c r="I8" s="16">
        <v>77707.344713385959</v>
      </c>
      <c r="J8" s="16">
        <v>45118.269873422229</v>
      </c>
      <c r="K8" s="17">
        <f>SUM(B$3:B8)</f>
        <v>1353380.6934176732</v>
      </c>
      <c r="L8" s="17">
        <f t="shared" si="1"/>
        <v>1531727.5804320907</v>
      </c>
      <c r="M8" s="17">
        <f t="shared" si="0"/>
        <v>1282797.734140022</v>
      </c>
      <c r="N8" s="17">
        <f>(F8*SUM(Costs!$F$4,Costs!$F$5)+G8*SUM(Costs!$F$4,Costs!$F$5,$W26)+H8*Costs!$F$7+I8*Costs!$F$7+J8*Costs!$F$7) /($Q$9^(A8-$A$3+1))</f>
        <v>272592928.49550432</v>
      </c>
      <c r="O8" s="17">
        <f>(F8*SUM(Costs!$F$4,Costs!$F$5)+G8*SUM(Costs!$F$4,Costs!$F$5,$W27)+H8*Costs!$F$7+I8*Costs!$F$7+J8*Costs!$F$7) /($Q$9^(A8-$A$3+1))</f>
        <v>272592928.49550432</v>
      </c>
      <c r="Q8" s="13" t="s">
        <v>6</v>
      </c>
    </row>
    <row r="9" spans="1:27" x14ac:dyDescent="0.25">
      <c r="A9" s="14">
        <v>2025</v>
      </c>
      <c r="B9" s="15">
        <v>235261.62209644535</v>
      </c>
      <c r="C9" s="16">
        <v>54254.770356317356</v>
      </c>
      <c r="D9" s="16">
        <v>92297.388061222824</v>
      </c>
      <c r="E9" s="16">
        <v>177721.73847413331</v>
      </c>
      <c r="F9" s="16">
        <v>1229150.4395177281</v>
      </c>
      <c r="G9" s="16">
        <v>0</v>
      </c>
      <c r="H9" s="16">
        <v>155050.74222108701</v>
      </c>
      <c r="I9" s="16">
        <v>76005.757901878082</v>
      </c>
      <c r="J9" s="16">
        <v>43280.76427134141</v>
      </c>
      <c r="K9" s="17">
        <f>SUM(B$3:B9)</f>
        <v>1588642.3155141186</v>
      </c>
      <c r="L9" s="17">
        <f t="shared" si="1"/>
        <v>1766364.0539882518</v>
      </c>
      <c r="M9" s="17">
        <f t="shared" si="0"/>
        <v>1436215.618239881</v>
      </c>
      <c r="N9" s="17">
        <f>(F9*SUM(Costs!$F$4,Costs!$F$5)+G9*SUM(Costs!$F$4,Costs!$F$5,$W26)+H9*Costs!$F$7+I9*Costs!$F$7+J9*Costs!$F$7) /($Q$9^(A9-$A$3+1))</f>
        <v>267153052.46253952</v>
      </c>
      <c r="O9" s="17">
        <f>(F9*SUM(Costs!$F$4,Costs!$F$5)+G9*SUM(Costs!$F$4,Costs!$F$5,$W27)+H9*Costs!$F$7+I9*Costs!$F$7+J9*Costs!$F$7) /($Q$9^(A9-$A$3+1))</f>
        <v>267153052.46253952</v>
      </c>
      <c r="Q9" s="19">
        <v>1.03</v>
      </c>
    </row>
    <row r="10" spans="1:27" x14ac:dyDescent="0.25">
      <c r="A10" s="14">
        <v>2026</v>
      </c>
      <c r="B10" s="15">
        <v>238303.21250489142</v>
      </c>
      <c r="C10" s="16">
        <v>53822.196108266166</v>
      </c>
      <c r="D10" s="16">
        <v>92311.247007075421</v>
      </c>
      <c r="E10" s="16">
        <v>177483.49728064306</v>
      </c>
      <c r="F10" s="16">
        <v>1241550.3932887234</v>
      </c>
      <c r="G10" s="16">
        <v>0</v>
      </c>
      <c r="H10" s="16">
        <v>155091.46655925139</v>
      </c>
      <c r="I10" s="16">
        <v>75340.757276596152</v>
      </c>
      <c r="J10" s="16">
        <v>42034.345349695541</v>
      </c>
      <c r="K10" s="17">
        <f>SUM(B$3:B10)</f>
        <v>1826945.5280190101</v>
      </c>
      <c r="L10" s="17">
        <f t="shared" si="1"/>
        <v>2004429.0252996532</v>
      </c>
      <c r="M10" s="17">
        <f t="shared" si="0"/>
        <v>1582314.7820984279</v>
      </c>
      <c r="N10" s="17">
        <f>(F10*SUM(Costs!$F$4,Costs!$F$5)+G10*SUM(Costs!$F$4,Costs!$F$5,$W26)+H10*Costs!$F$7+I10*Costs!$F$7+J10*Costs!$F$7) /($Q$9^(A10-$A$3+1))</f>
        <v>261419832.36239353</v>
      </c>
      <c r="O10" s="17">
        <f>(F10*SUM(Costs!$F$4,Costs!$F$5)+G10*SUM(Costs!$F$4,Costs!$F$5,$W27)+H10*Costs!$F$7+I10*Costs!$F$7+J10*Costs!$F$7) /($Q$9^(A10-$A$3+1))</f>
        <v>261419832.36239353</v>
      </c>
    </row>
    <row r="11" spans="1:27" x14ac:dyDescent="0.25">
      <c r="A11" s="14">
        <v>2027</v>
      </c>
      <c r="B11" s="15">
        <v>241769.27438753503</v>
      </c>
      <c r="C11" s="16">
        <v>53766.31841592658</v>
      </c>
      <c r="D11" s="16">
        <v>92884.179593405075</v>
      </c>
      <c r="E11" s="16">
        <v>177646.9254714339</v>
      </c>
      <c r="F11" s="16">
        <v>1249572.1123458033</v>
      </c>
      <c r="G11" s="16">
        <v>0</v>
      </c>
      <c r="H11" s="16">
        <v>157259.08826905995</v>
      </c>
      <c r="I11" s="16">
        <v>75726.866935632905</v>
      </c>
      <c r="J11" s="16">
        <v>41356.930466643491</v>
      </c>
      <c r="K11" s="17">
        <f>SUM(B$3:B11)</f>
        <v>2068714.802406545</v>
      </c>
      <c r="L11" s="17">
        <f t="shared" si="1"/>
        <v>2246361.7278779792</v>
      </c>
      <c r="M11" s="17">
        <f t="shared" si="0"/>
        <v>1721649.2151420244</v>
      </c>
      <c r="N11" s="17">
        <f>(F11*SUM(Costs!$F$4,Costs!$F$5)+G11*SUM(Costs!$F$4,Costs!$F$5,$W26)+H11*Costs!$F$7+I11*Costs!$F$7+J11*Costs!$F$7) /($Q$9^(A11-$A$3+1))</f>
        <v>255459308.94024825</v>
      </c>
      <c r="O11" s="17">
        <f>(F11*SUM(Costs!$F$4,Costs!$F$5)+G11*SUM(Costs!$F$4,Costs!$F$5,$W27)+H11*Costs!$F$7+I11*Costs!$F$7+J11*Costs!$F$7) /($Q$9^(A11-$A$3+1))</f>
        <v>255459308.94024825</v>
      </c>
    </row>
    <row r="12" spans="1:27" s="27" customFormat="1" x14ac:dyDescent="0.25">
      <c r="A12" s="23">
        <v>2028</v>
      </c>
      <c r="B12" s="24">
        <v>244928.70206902243</v>
      </c>
      <c r="C12" s="25">
        <v>53358.802162004315</v>
      </c>
      <c r="D12" s="25">
        <v>93016.369843689783</v>
      </c>
      <c r="E12" s="25">
        <v>177427.35023803468</v>
      </c>
      <c r="F12" s="25">
        <v>1261023.0317558944</v>
      </c>
      <c r="G12" s="25">
        <v>0</v>
      </c>
      <c r="H12" s="25">
        <v>156935.06957532835</v>
      </c>
      <c r="I12" s="25">
        <v>75115.13262204919</v>
      </c>
      <c r="J12" s="25">
        <v>40191.397099748581</v>
      </c>
      <c r="K12" s="26">
        <f>SUM(B$3:B12)</f>
        <v>2313643.5044755675</v>
      </c>
      <c r="L12" s="26">
        <f t="shared" si="1"/>
        <v>2491070.854713602</v>
      </c>
      <c r="M12" s="26">
        <f t="shared" si="0"/>
        <v>1853590.6645689753</v>
      </c>
      <c r="N12" s="26">
        <f>(F12*SUM(Costs!$F$4,Costs!$F$5)+G12*SUM(Costs!$F$4,Costs!$F$5,$W26)+H12*Costs!$F$7+I12*Costs!$F$7+J12*Costs!$F$7) /($Q$9^(A12-$A$3+1))</f>
        <v>249758187.08169973</v>
      </c>
      <c r="O12" s="26">
        <f>(F12*SUM(Costs!$F$4,Costs!$F$5)+G12*SUM(Costs!$F$4,Costs!$F$5,$W27)+H12*Costs!$F$7+I12*Costs!$F$7+J12*Costs!$F$7) /($Q$9^(A12-$A$3+1))</f>
        <v>249758187.08169973</v>
      </c>
      <c r="V12" s="28"/>
    </row>
    <row r="13" spans="1:27" x14ac:dyDescent="0.25">
      <c r="A13" s="12" t="s">
        <v>0</v>
      </c>
      <c r="B13" s="6">
        <f>SUM(B3:B12)</f>
        <v>2313643.5044755675</v>
      </c>
      <c r="C13" s="6">
        <f>SUM(C3:C12)</f>
        <v>552021.62397060054</v>
      </c>
      <c r="D13" s="6">
        <f t="shared" ref="D13:O13" si="2">SUM(D3:D12)</f>
        <v>928628.23407255788</v>
      </c>
      <c r="E13" s="6">
        <f t="shared" si="2"/>
        <v>1782949.9533045003</v>
      </c>
      <c r="F13" s="6">
        <f t="shared" si="2"/>
        <v>12038866.957664343</v>
      </c>
      <c r="G13" s="6">
        <f t="shared" si="2"/>
        <v>0</v>
      </c>
      <c r="H13" s="6">
        <f t="shared" si="2"/>
        <v>1550231.5776070445</v>
      </c>
      <c r="I13" s="6">
        <f t="shared" si="2"/>
        <v>779558.05799008755</v>
      </c>
      <c r="J13" s="6">
        <f t="shared" si="2"/>
        <v>457474.27879248216</v>
      </c>
      <c r="K13" s="6">
        <f t="shared" si="2"/>
        <v>12486116.729779534</v>
      </c>
      <c r="L13" s="6">
        <f t="shared" si="2"/>
        <v>14269066.683084035</v>
      </c>
      <c r="M13" s="6">
        <f t="shared" si="2"/>
        <v>11689215.222317422</v>
      </c>
      <c r="N13" s="6">
        <f t="shared" si="2"/>
        <v>2752192268.5938296</v>
      </c>
      <c r="O13" s="6">
        <f t="shared" si="2"/>
        <v>2752192268.5938296</v>
      </c>
      <c r="V13" s="18"/>
    </row>
    <row r="15" spans="1:27" ht="15" x14ac:dyDescent="0.4">
      <c r="B15" s="7" t="s">
        <v>97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216049.60727646001</v>
      </c>
      <c r="C17" s="16">
        <v>54507.058708452816</v>
      </c>
      <c r="D17" s="16">
        <v>89117.539851921378</v>
      </c>
      <c r="E17" s="16">
        <v>175517.14678068584</v>
      </c>
      <c r="F17" s="16">
        <v>1024985.5375223432</v>
      </c>
      <c r="G17" s="16">
        <v>111227.71717728151</v>
      </c>
      <c r="H17" s="16">
        <v>151140.71827374754</v>
      </c>
      <c r="I17" s="16">
        <v>81956.157493460341</v>
      </c>
      <c r="J17" s="16">
        <v>52027.514484784624</v>
      </c>
      <c r="K17" s="17">
        <f>SUM(B$17:B17)</f>
        <v>216049.60727646001</v>
      </c>
      <c r="L17" s="17">
        <f>SUM(E17,K17)</f>
        <v>391566.75405714585</v>
      </c>
      <c r="M17" s="17">
        <f t="shared" ref="M17:M26" si="3">L17/($Q$9^(A17-$A$3+1))</f>
        <v>380161.89714286005</v>
      </c>
      <c r="N17" s="17">
        <f>(F17*SUM(Costs!$F$4,Costs!$F$5)+G17*SUM(Costs!$F$4,Costs!$F$5,$W26)+H17*Costs!$F$7+I17*Costs!$F$7+J17*Costs!$F$7) /($Q$9^(A17-$A$3+1))</f>
        <v>312045803.74688053</v>
      </c>
      <c r="O17" s="17">
        <f>(F17*SUM(Costs!$F$4,Costs!$F$5)+G17*SUM(Costs!$F$4,Costs!$F$5,$W27)+H17*Costs!$F$7+I17*Costs!$F$7+J17*Costs!$F$7) /($Q$9^(A17-$A$3+1))</f>
        <v>332081984.420708</v>
      </c>
      <c r="Q17" s="32">
        <f>M$3-M17</f>
        <v>6446.9819475446129</v>
      </c>
      <c r="R17" s="27">
        <f>B$3-B17</f>
        <v>2853.9596886736108</v>
      </c>
      <c r="S17" s="27">
        <f>D$3-D17</f>
        <v>4467.0119764571136</v>
      </c>
      <c r="T17" s="27"/>
      <c r="U17" s="33"/>
      <c r="W17" s="55"/>
    </row>
    <row r="18" spans="1:26" x14ac:dyDescent="0.25">
      <c r="A18" s="14">
        <v>2020</v>
      </c>
      <c r="B18" s="15">
        <v>218315.80703040349</v>
      </c>
      <c r="C18" s="16">
        <v>53734.896046770191</v>
      </c>
      <c r="D18" s="16">
        <v>88212.049802075373</v>
      </c>
      <c r="E18" s="16">
        <v>174943.50705214791</v>
      </c>
      <c r="F18" s="16">
        <v>1046496.2187333503</v>
      </c>
      <c r="G18" s="16">
        <v>108716.78656819486</v>
      </c>
      <c r="H18" s="16">
        <v>150336.60592895426</v>
      </c>
      <c r="I18" s="16">
        <v>79909.331493649472</v>
      </c>
      <c r="J18" s="16">
        <v>49990.564481023721</v>
      </c>
      <c r="K18" s="17">
        <f>SUM(B$17:B18)</f>
        <v>434365.4143068635</v>
      </c>
      <c r="L18" s="17">
        <f>SUM(E18,K18)</f>
        <v>609308.92135901144</v>
      </c>
      <c r="M18" s="17">
        <f t="shared" si="3"/>
        <v>574332.09667170467</v>
      </c>
      <c r="N18" s="17">
        <f>(F18*SUM(Costs!$F$4,Costs!$F$5)+G18*SUM(Costs!$F$4,Costs!$F$5,$W26)+H18*Costs!$F$7+I18*Costs!$F$7+J18*Costs!$F$7) /($Q$9^(A18-$A$3+1))</f>
        <v>306135883.08991528</v>
      </c>
      <c r="O18" s="17">
        <f>(F18*SUM(Costs!$F$4,Costs!$F$5)+G18*SUM(Costs!$F$4,Costs!$F$5,$W27)+H18*Costs!$F$7+I18*Costs!$F$7+J18*Costs!$F$7) /($Q$9^(A18-$A$3+1))</f>
        <v>325149349.32197833</v>
      </c>
      <c r="Q18" s="32">
        <f>M$4-M18</f>
        <v>8883.6085901123006</v>
      </c>
      <c r="R18" s="27">
        <f>B$4-B18</f>
        <v>2786.1910573492351</v>
      </c>
      <c r="S18" s="27">
        <f>D$4-D18</f>
        <v>4625.9397102150688</v>
      </c>
      <c r="T18" s="27"/>
      <c r="U18" s="33"/>
    </row>
    <row r="19" spans="1:26" x14ac:dyDescent="0.25">
      <c r="A19" s="14">
        <v>2021</v>
      </c>
      <c r="B19" s="15">
        <v>221417.89383971877</v>
      </c>
      <c r="C19" s="16">
        <v>53694.465613864944</v>
      </c>
      <c r="D19" s="16">
        <v>88337.245296642373</v>
      </c>
      <c r="E19" s="16">
        <v>175169.78155548879</v>
      </c>
      <c r="F19" s="16">
        <v>1060510.8818441569</v>
      </c>
      <c r="G19" s="16">
        <v>105445.5615302606</v>
      </c>
      <c r="H19" s="16">
        <v>153359.40839162978</v>
      </c>
      <c r="I19" s="16">
        <v>79921.684147075604</v>
      </c>
      <c r="J19" s="16">
        <v>49162.881849455924</v>
      </c>
      <c r="K19" s="17">
        <f>SUM(B$17:B19)</f>
        <v>655783.30814658222</v>
      </c>
      <c r="L19" s="17">
        <f t="shared" ref="L19:L26" si="4">SUM(E19,K19)</f>
        <v>830953.08970207104</v>
      </c>
      <c r="M19" s="17">
        <f t="shared" si="3"/>
        <v>760439.78935458814</v>
      </c>
      <c r="N19" s="17">
        <f>(F19*SUM(Costs!$F$4,Costs!$F$5)+G19*SUM(Costs!$F$4,Costs!$F$5,$W26)+H19*Costs!$F$7+I19*Costs!$F$7+J19*Costs!$F$7) /($Q$9^(A19-$A$3+1))</f>
        <v>299476174.74832135</v>
      </c>
      <c r="O19" s="17">
        <f>(F19*SUM(Costs!$F$4,Costs!$F$5)+G19*SUM(Costs!$F$4,Costs!$F$5,$W27)+H19*Costs!$F$7+I19*Costs!$F$7+J19*Costs!$F$7) /($Q$9^(A19-$A$3+1))</f>
        <v>317380409.76135844</v>
      </c>
      <c r="Q19" s="32">
        <f>M$5-M19</f>
        <v>11109.116545047029</v>
      </c>
      <c r="R19" s="27">
        <f>B$5-B19</f>
        <v>2705.8565323555376</v>
      </c>
      <c r="S19" s="27">
        <f>D$5-D19</f>
        <v>4760.8720795370173</v>
      </c>
      <c r="T19" s="27"/>
      <c r="U19" s="33"/>
    </row>
    <row r="20" spans="1:26" x14ac:dyDescent="0.25">
      <c r="A20" s="14">
        <v>2022</v>
      </c>
      <c r="B20" s="15">
        <v>224244.06200455455</v>
      </c>
      <c r="C20" s="16">
        <v>53290.669622662739</v>
      </c>
      <c r="D20" s="16">
        <v>87997.237712927265</v>
      </c>
      <c r="E20" s="16">
        <v>174920.16414171024</v>
      </c>
      <c r="F20" s="16">
        <v>1076977.7561921717</v>
      </c>
      <c r="G20" s="16">
        <v>102498.95842653653</v>
      </c>
      <c r="H20" s="16">
        <v>154071.71267518503</v>
      </c>
      <c r="I20" s="16">
        <v>78968.913407979999</v>
      </c>
      <c r="J20" s="16">
        <v>47756.42231855006</v>
      </c>
      <c r="K20" s="17">
        <f>SUM(B$17:B20)</f>
        <v>880027.37015113677</v>
      </c>
      <c r="L20" s="17">
        <f t="shared" si="4"/>
        <v>1054947.5342928469</v>
      </c>
      <c r="M20" s="17">
        <f t="shared" si="3"/>
        <v>937307.22044978663</v>
      </c>
      <c r="N20" s="17">
        <f>(F20*SUM(Costs!$F$4,Costs!$F$5)+G20*SUM(Costs!$F$4,Costs!$F$5,$W26)+H20*Costs!$F$7+I20*Costs!$F$7+J20*Costs!$F$7) /($Q$9^(A20-$A$3+1))</f>
        <v>293019974.8986997</v>
      </c>
      <c r="O20" s="17">
        <f>(F20*SUM(Costs!$F$4,Costs!$F$5)+G20*SUM(Costs!$F$4,Costs!$F$5,$W27)+H20*Costs!$F$7+I20*Costs!$F$7+J20*Costs!$F$7) /($Q$9^(A20-$A$3+1))</f>
        <v>309916978.37436348</v>
      </c>
      <c r="Q20" s="32">
        <f>M$6-M20</f>
        <v>13181.107663303846</v>
      </c>
      <c r="R20" s="27">
        <f>B$6-B20</f>
        <v>2639.5137684931979</v>
      </c>
      <c r="S20" s="27">
        <f>D$6-D20</f>
        <v>4952.1133028920594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227142.84066527674</v>
      </c>
      <c r="C21" s="16">
        <v>52882.99870633964</v>
      </c>
      <c r="D21" s="16">
        <v>87667.120385328832</v>
      </c>
      <c r="E21" s="16">
        <v>174610.1735830869</v>
      </c>
      <c r="F21" s="16">
        <v>1092479.173591112</v>
      </c>
      <c r="G21" s="16">
        <v>99542.593664215252</v>
      </c>
      <c r="H21" s="16">
        <v>154525.80414425154</v>
      </c>
      <c r="I21" s="16">
        <v>78043.002794117987</v>
      </c>
      <c r="J21" s="16">
        <v>46367.460491242142</v>
      </c>
      <c r="K21" s="17">
        <f>SUM(B$17:B21)</f>
        <v>1107170.2108164136</v>
      </c>
      <c r="L21" s="17">
        <f t="shared" si="4"/>
        <v>1281780.3843995004</v>
      </c>
      <c r="M21" s="17">
        <f t="shared" si="3"/>
        <v>1105675.0192343197</v>
      </c>
      <c r="N21" s="17">
        <f>(F21*SUM(Costs!$F$4,Costs!$F$5)+G21*SUM(Costs!$F$4,Costs!$F$5,$W26)+H21*Costs!$F$7+I21*Costs!$F$7+J21*Costs!$F$7) /($Q$9^(A21-$A$3+1))</f>
        <v>286460479.64172244</v>
      </c>
      <c r="O21" s="17">
        <f>(F21*SUM(Costs!$F$4,Costs!$F$5)+G21*SUM(Costs!$F$4,Costs!$F$5,$W27)+H21*Costs!$F$7+I21*Costs!$F$7+J21*Costs!$F$7) /($Q$9^(A21-$A$3+1))</f>
        <v>302392174.10510784</v>
      </c>
      <c r="Q21" s="32">
        <f>M$7-M21</f>
        <v>15110.370528824627</v>
      </c>
      <c r="R21" s="27">
        <f>B$7-B21</f>
        <v>2582.8154423442902</v>
      </c>
      <c r="S21" s="27">
        <f>D$7-D21</f>
        <v>5179.6146475665882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230104.05374922662</v>
      </c>
      <c r="C22" s="16">
        <v>52472.127506547818</v>
      </c>
      <c r="D22" s="16">
        <v>87367.24111885934</v>
      </c>
      <c r="E22" s="16">
        <v>174255.47843903812</v>
      </c>
      <c r="F22" s="16">
        <v>1107075.3052632927</v>
      </c>
      <c r="G22" s="16">
        <v>96622.211239854194</v>
      </c>
      <c r="H22" s="16">
        <v>154719.00350329184</v>
      </c>
      <c r="I22" s="16">
        <v>77146.078335507482</v>
      </c>
      <c r="J22" s="16">
        <v>45007.793724917203</v>
      </c>
      <c r="K22" s="17">
        <f>SUM(B$17:B22)</f>
        <v>1337274.2645656401</v>
      </c>
      <c r="L22" s="17">
        <f t="shared" si="4"/>
        <v>1511529.7430046783</v>
      </c>
      <c r="M22" s="17">
        <f t="shared" si="3"/>
        <v>1265882.3632755082</v>
      </c>
      <c r="N22" s="17">
        <f>(F22*SUM(Costs!$F$4,Costs!$F$5)+G22*SUM(Costs!$F$4,Costs!$F$5,$W26)+H22*Costs!$F$7+I22*Costs!$F$7+J22*Costs!$F$7) /($Q$9^(A22-$A$3+1))</f>
        <v>279842249.75047934</v>
      </c>
      <c r="O22" s="17">
        <f>(F22*SUM(Costs!$F$4,Costs!$F$5)+G22*SUM(Costs!$F$4,Costs!$F$5,$W27)+H22*Costs!$F$7+I22*Costs!$F$7+J22*Costs!$F$7) /($Q$9^(A22-$A$3+1))</f>
        <v>294856123.65465355</v>
      </c>
      <c r="Q22" s="32">
        <f>M$8-M22</f>
        <v>16915.370864513796</v>
      </c>
      <c r="R22" s="27">
        <f>B$8-B22</f>
        <v>2538.0923628170567</v>
      </c>
      <c r="S22" s="27">
        <f>D$8-D22</f>
        <v>5435.0636827423587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232750.01069951896</v>
      </c>
      <c r="C23" s="16">
        <v>51686.152956286765</v>
      </c>
      <c r="D23" s="16">
        <v>86580.215975451749</v>
      </c>
      <c r="E23" s="16">
        <v>173437.83981920438</v>
      </c>
      <c r="F23" s="16">
        <v>1124178.7976880425</v>
      </c>
      <c r="G23" s="16">
        <v>94039.175623607749</v>
      </c>
      <c r="H23" s="16">
        <v>152409.58933189663</v>
      </c>
      <c r="I23" s="16">
        <v>75260.323444104899</v>
      </c>
      <c r="J23" s="16">
        <v>43133.035955207873</v>
      </c>
      <c r="K23" s="17">
        <f>SUM(B$17:B23)</f>
        <v>1570024.2752651591</v>
      </c>
      <c r="L23" s="17">
        <f t="shared" si="4"/>
        <v>1743462.1150843634</v>
      </c>
      <c r="M23" s="17">
        <f t="shared" si="3"/>
        <v>1417594.2461238252</v>
      </c>
      <c r="N23" s="17">
        <f>(F23*SUM(Costs!$F$4,Costs!$F$5)+G23*SUM(Costs!$F$4,Costs!$F$5,$W26)+H23*Costs!$F$7+I23*Costs!$F$7+J23*Costs!$F$7) /($Q$9^(A23-$A$3+1))</f>
        <v>273430233.09609354</v>
      </c>
      <c r="O23" s="17">
        <f>(F23*SUM(Costs!$F$4,Costs!$F$5)+G23*SUM(Costs!$F$4,Costs!$F$5,$W27)+H23*Costs!$F$7+I23*Costs!$F$7+J23*Costs!$F$7) /($Q$9^(A23-$A$3+1))</f>
        <v>287617128.94387418</v>
      </c>
      <c r="Q23" s="32">
        <f>M$9-M23</f>
        <v>18621.372116055805</v>
      </c>
      <c r="R23" s="27">
        <f>B$9-B23</f>
        <v>2511.611396926397</v>
      </c>
      <c r="S23" s="27">
        <f>D$9-D23</f>
        <v>5717.1720857710752</v>
      </c>
      <c r="T23" s="27"/>
      <c r="U23" s="33"/>
    </row>
    <row r="24" spans="1:26" ht="13.8" thickBot="1" x14ac:dyDescent="0.3">
      <c r="A24" s="14">
        <v>2026</v>
      </c>
      <c r="B24" s="15">
        <v>235808.75101989889</v>
      </c>
      <c r="C24" s="16">
        <v>51258.401587125823</v>
      </c>
      <c r="D24" s="16">
        <v>86296.415115114374</v>
      </c>
      <c r="E24" s="16">
        <v>172968.82536549712</v>
      </c>
      <c r="F24" s="16">
        <v>1136798.3080051811</v>
      </c>
      <c r="G24" s="16">
        <v>91222.598716244072</v>
      </c>
      <c r="H24" s="16">
        <v>152084.49746745173</v>
      </c>
      <c r="I24" s="16">
        <v>74382.896008084368</v>
      </c>
      <c r="J24" s="16">
        <v>41836.762935949868</v>
      </c>
      <c r="K24" s="17">
        <f>SUM(B$17:B24)</f>
        <v>1805833.0262850579</v>
      </c>
      <c r="L24" s="17">
        <f t="shared" si="4"/>
        <v>1978801.8516505549</v>
      </c>
      <c r="M24" s="17">
        <f t="shared" si="3"/>
        <v>1562084.4545704629</v>
      </c>
      <c r="N24" s="17">
        <f>(F24*SUM(Costs!$F$4,Costs!$F$5)+G24*SUM(Costs!$F$4,Costs!$F$5,$W26)+H24*Costs!$F$7+I24*Costs!$F$7+J24*Costs!$F$7) /($Q$9^(A24-$A$3+1))</f>
        <v>266704578.86069471</v>
      </c>
      <c r="O24" s="17">
        <f>(F24*SUM(Costs!$F$4,Costs!$F$5)+G24*SUM(Costs!$F$4,Costs!$F$5,$W27)+H24*Costs!$F$7+I24*Costs!$F$7+J24*Costs!$F$7) /($Q$9^(A24-$A$3+1))</f>
        <v>280065727.10173327</v>
      </c>
      <c r="Q24" s="32">
        <f>M$10-M24</f>
        <v>20230.327527964953</v>
      </c>
      <c r="R24" s="27">
        <f>B$10-B24</f>
        <v>2494.4614849925274</v>
      </c>
      <c r="S24" s="27">
        <f>D$10-D24</f>
        <v>6014.8318919610465</v>
      </c>
      <c r="T24" s="27"/>
      <c r="U24" s="33"/>
    </row>
    <row r="25" spans="1:26" x14ac:dyDescent="0.25">
      <c r="A25" s="14">
        <v>2027</v>
      </c>
      <c r="B25" s="15">
        <v>239279.37827087819</v>
      </c>
      <c r="C25" s="16">
        <v>51194.121289054936</v>
      </c>
      <c r="D25" s="16">
        <v>86547.33315036878</v>
      </c>
      <c r="E25" s="16">
        <v>172859.18013951022</v>
      </c>
      <c r="F25" s="16">
        <v>1144968.0787778029</v>
      </c>
      <c r="G25" s="16">
        <v>88255.227623236118</v>
      </c>
      <c r="H25" s="16">
        <v>153860.7577756856</v>
      </c>
      <c r="I25" s="16">
        <v>74525.231299983323</v>
      </c>
      <c r="J25" s="16">
        <v>41093.814956063907</v>
      </c>
      <c r="K25" s="17">
        <f>SUM(B$17:B25)</f>
        <v>2045112.4045559361</v>
      </c>
      <c r="L25" s="17">
        <f t="shared" si="4"/>
        <v>2217971.5846954463</v>
      </c>
      <c r="M25" s="17">
        <f t="shared" si="3"/>
        <v>1699890.5343732999</v>
      </c>
      <c r="N25" s="17">
        <f>(F25*SUM(Costs!$F$4,Costs!$F$5)+G25*SUM(Costs!$F$4,Costs!$F$5,$W26)+H25*Costs!$F$7+I25*Costs!$F$7+J25*Costs!$F$7) /($Q$9^(A25-$A$3+1))</f>
        <v>259742544.50379944</v>
      </c>
      <c r="O25" s="17">
        <f>(F25*SUM(Costs!$F$4,Costs!$F$5)+G25*SUM(Costs!$F$4,Costs!$F$5,$W27)+H25*Costs!$F$7+I25*Costs!$F$7+J25*Costs!$F$7) /($Q$9^(A25-$A$3+1))</f>
        <v>272292568.52500528</v>
      </c>
      <c r="Q25" s="32">
        <f>M$11-M25</f>
        <v>21758.680768724531</v>
      </c>
      <c r="R25" s="27">
        <f>B$11-B25</f>
        <v>2489.8961166568333</v>
      </c>
      <c r="S25" s="27">
        <f>D$11-D25</f>
        <v>6336.8464430362947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242424.62808123618</v>
      </c>
      <c r="C26" s="25">
        <v>50758.843193791006</v>
      </c>
      <c r="D26" s="25">
        <v>86332.288883837944</v>
      </c>
      <c r="E26" s="25">
        <v>172319.04627676372</v>
      </c>
      <c r="F26" s="25">
        <v>1155821.9842085191</v>
      </c>
      <c r="G26" s="25">
        <v>85709.367610319867</v>
      </c>
      <c r="H26" s="25">
        <v>153164.10129000485</v>
      </c>
      <c r="I26" s="25">
        <v>73677.063816294467</v>
      </c>
      <c r="J26" s="25">
        <v>39857.075153336598</v>
      </c>
      <c r="K26" s="26">
        <f>SUM(B$17:B26)</f>
        <v>2287537.0326371724</v>
      </c>
      <c r="L26" s="26">
        <f t="shared" si="4"/>
        <v>2459856.0789139359</v>
      </c>
      <c r="M26" s="26">
        <f t="shared" si="3"/>
        <v>1830363.9398415782</v>
      </c>
      <c r="N26" s="26">
        <f>(F26*SUM(Costs!$F$4,Costs!$F$5)+G26*SUM(Costs!$F$4,Costs!$F$5,$W26)+H26*Costs!$F$7+I26*Costs!$F$7+J26*Costs!$F$7) /($Q$9^(A26-$A$3+1))</f>
        <v>253076176.89696828</v>
      </c>
      <c r="O26" s="26">
        <f>(F26*SUM(Costs!$F$4,Costs!$F$5)+G26*SUM(Costs!$F$4,Costs!$F$5,$W27)+H26*Costs!$F$7+I26*Costs!$F$7+J26*Costs!$F$7) /($Q$9^(A26-$A$3+1))</f>
        <v>264909185.59451574</v>
      </c>
      <c r="Q26" s="35">
        <f>M$12-M26</f>
        <v>23226.724727397086</v>
      </c>
      <c r="R26" s="27">
        <f>B$12-B26</f>
        <v>2504.0739877862507</v>
      </c>
      <c r="S26" s="27">
        <f>D$12-D26</f>
        <v>6684.080959851839</v>
      </c>
      <c r="T26" s="42"/>
      <c r="U26" s="36"/>
      <c r="W26" s="43">
        <v>114.97816882379644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2287537.0326371724</v>
      </c>
      <c r="C27" s="6">
        <f>SUM(C17:C26)</f>
        <v>525479.73523089674</v>
      </c>
      <c r="D27" s="6">
        <f t="shared" si="5"/>
        <v>874454.68729252752</v>
      </c>
      <c r="E27" s="6">
        <f t="shared" si="5"/>
        <v>1741001.1431531331</v>
      </c>
      <c r="F27" s="6">
        <f t="shared" si="5"/>
        <v>10970292.041825972</v>
      </c>
      <c r="G27" s="6">
        <f t="shared" si="5"/>
        <v>983280.19817975082</v>
      </c>
      <c r="H27" s="6">
        <f t="shared" si="5"/>
        <v>1529672.1987820987</v>
      </c>
      <c r="I27" s="6">
        <f t="shared" si="5"/>
        <v>773790.68224025797</v>
      </c>
      <c r="J27" s="6">
        <f t="shared" si="5"/>
        <v>456233.32635053189</v>
      </c>
      <c r="K27" s="6">
        <f t="shared" si="5"/>
        <v>12339176.914006419</v>
      </c>
      <c r="L27" s="6">
        <f t="shared" si="5"/>
        <v>14080178.057159556</v>
      </c>
      <c r="M27" s="6">
        <f t="shared" si="5"/>
        <v>11533731.561037933</v>
      </c>
      <c r="N27" s="6">
        <f t="shared" si="5"/>
        <v>2829934099.2335749</v>
      </c>
      <c r="O27" s="6">
        <f t="shared" si="5"/>
        <v>2986661629.803298</v>
      </c>
      <c r="Q27" s="6">
        <f>SUM(Q17:Q26)</f>
        <v>155483.66127948859</v>
      </c>
      <c r="R27" s="37">
        <f>SUM(R17:R26)</f>
        <v>26106.471838394937</v>
      </c>
      <c r="S27" s="37">
        <f>SUM(S17:S26)</f>
        <v>54173.546780030461</v>
      </c>
      <c r="T27" s="18">
        <f>(N27-N$13)/Q27</f>
        <v>500.00000000000608</v>
      </c>
      <c r="U27" s="18">
        <f>(O27-O$13)/Q27</f>
        <v>1507.9999999999973</v>
      </c>
      <c r="W27" s="44">
        <v>300.51884715264652</v>
      </c>
      <c r="X27" s="50">
        <f>$Q$3</f>
        <v>1508</v>
      </c>
      <c r="Y27" s="22" t="s">
        <v>61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0"/>
  <sheetViews>
    <sheetView zoomScale="90" zoomScaleNormal="90" workbookViewId="0">
      <pane xSplit="1" ySplit="2" topLeftCell="L3" activePane="bottomRight" state="frozen"/>
      <selection activeCell="U27" sqref="U27"/>
      <selection pane="topRight" activeCell="U27" sqref="U27"/>
      <selection pane="bottomLeft" activeCell="U27" sqref="U27"/>
      <selection pane="bottomRight" activeCell="W27" sqref="W27"/>
    </sheetView>
  </sheetViews>
  <sheetFormatPr defaultColWidth="9.109375" defaultRowHeight="13.2" x14ac:dyDescent="0.25"/>
  <cols>
    <col min="1" max="1" width="7.5546875" style="6" customWidth="1"/>
    <col min="2" max="4" width="13.33203125" style="6" customWidth="1"/>
    <col min="5" max="10" width="13.44140625" style="6" customWidth="1"/>
    <col min="11" max="11" width="13.33203125" style="6" customWidth="1"/>
    <col min="12" max="12" width="14.33203125" style="6" customWidth="1"/>
    <col min="13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9" width="14.6640625" style="6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customWidth="1"/>
    <col min="24" max="24" width="11.33203125" style="45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115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213804.89360579106</v>
      </c>
      <c r="C3" s="16">
        <v>52224.722861136943</v>
      </c>
      <c r="D3" s="16">
        <v>86263.017337939615</v>
      </c>
      <c r="E3" s="16">
        <v>172765.80301576274</v>
      </c>
      <c r="F3" s="16">
        <v>1132532.2734128824</v>
      </c>
      <c r="G3" s="16">
        <v>0</v>
      </c>
      <c r="H3" s="16">
        <v>150346.49600143646</v>
      </c>
      <c r="I3" s="16">
        <v>81658.12706191199</v>
      </c>
      <c r="J3" s="16">
        <v>51939.161156002228</v>
      </c>
      <c r="K3" s="17">
        <f>SUM(B$3:B3)</f>
        <v>213804.89360579106</v>
      </c>
      <c r="L3" s="17">
        <f>SUM(E3,K3)</f>
        <v>386570.6966215538</v>
      </c>
      <c r="M3" s="17">
        <f t="shared" ref="M3:M12" si="0">L3/($Q$9^(A3-$A$3+1))</f>
        <v>375311.35594325612</v>
      </c>
      <c r="N3" s="17">
        <f>(F3*SUM(Costs!$F$4,Costs!$F$5)+G3*SUM(Costs!$F$4,Costs!$F$5,$W26)+H3*Costs!$F$7+I3*Costs!$F$7+J3*Costs!$F$7) /($Q$9^(A3-$A$3+1))</f>
        <v>298620089.52475661</v>
      </c>
      <c r="O3" s="17">
        <f>(F3*SUM(Costs!$F$4,Costs!$F$5)+G3*SUM(Costs!$F$4,Costs!$F$5,$W27)+H3*Costs!$F$7+I3*Costs!$F$7+J3*Costs!$F$7) /($Q$9^(A3-$A$3+1))</f>
        <v>298620089.52475661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216005.84204762898</v>
      </c>
      <c r="C4" s="16">
        <v>51370.567106843118</v>
      </c>
      <c r="D4" s="16">
        <v>85189.138755104927</v>
      </c>
      <c r="E4" s="16">
        <v>172048.71477464263</v>
      </c>
      <c r="F4" s="16">
        <v>1150950.7860092509</v>
      </c>
      <c r="G4" s="16">
        <v>0</v>
      </c>
      <c r="H4" s="16">
        <v>149600.34131671442</v>
      </c>
      <c r="I4" s="16">
        <v>79516.55407548169</v>
      </c>
      <c r="J4" s="16">
        <v>49893.666768846713</v>
      </c>
      <c r="K4" s="17">
        <f>SUM(B$3:B4)</f>
        <v>429810.73565342004</v>
      </c>
      <c r="L4" s="17">
        <f t="shared" ref="L4:L12" si="1">SUM(E4,K4)</f>
        <v>601859.4504280627</v>
      </c>
      <c r="M4" s="17">
        <f t="shared" si="0"/>
        <v>567310.25584698154</v>
      </c>
      <c r="N4" s="17">
        <f>(F4*SUM(Costs!$F$4,Costs!$F$5)+G4*SUM(Costs!$F$4,Costs!$F$5,$W26)+H4*Costs!$F$7+I4*Costs!$F$7+J4*Costs!$F$7) /($Q$9^(A4-$A$3+1))</f>
        <v>293239241.49858201</v>
      </c>
      <c r="O4" s="17">
        <f>(F4*SUM(Costs!$F$4,Costs!$F$5)+G4*SUM(Costs!$F$4,Costs!$F$5,$W27)+H4*Costs!$F$7+I4*Costs!$F$7+J4*Costs!$F$7) /($Q$9^(A4-$A$3+1))</f>
        <v>293239241.49858201</v>
      </c>
    </row>
    <row r="5" spans="1:27" x14ac:dyDescent="0.25">
      <c r="A5" s="14">
        <v>2021</v>
      </c>
      <c r="B5" s="15">
        <v>219047.79153353116</v>
      </c>
      <c r="C5" s="16">
        <v>51253.37705999746</v>
      </c>
      <c r="D5" s="16">
        <v>85133.173174776879</v>
      </c>
      <c r="E5" s="16">
        <v>172124.00731915669</v>
      </c>
      <c r="F5" s="16">
        <v>1161031.4352581117</v>
      </c>
      <c r="G5" s="16">
        <v>0</v>
      </c>
      <c r="H5" s="16">
        <v>152648.89777131408</v>
      </c>
      <c r="I5" s="16">
        <v>79417.456460142377</v>
      </c>
      <c r="J5" s="16">
        <v>49045.944553027977</v>
      </c>
      <c r="K5" s="17">
        <f>SUM(B$3:B5)</f>
        <v>648858.52718695113</v>
      </c>
      <c r="L5" s="17">
        <f t="shared" si="1"/>
        <v>820982.5345061078</v>
      </c>
      <c r="M5" s="17">
        <f t="shared" si="0"/>
        <v>751315.31892788212</v>
      </c>
      <c r="N5" s="17">
        <f>(F5*SUM(Costs!$F$4,Costs!$F$5)+G5*SUM(Costs!$F$4,Costs!$F$5,$W26)+H5*Costs!$F$7+I5*Costs!$F$7+J5*Costs!$F$7) /($Q$9^(A5-$A$3+1))</f>
        <v>287143227.20649242</v>
      </c>
      <c r="O5" s="17">
        <f>(F5*SUM(Costs!$F$4,Costs!$F$5)+G5*SUM(Costs!$F$4,Costs!$F$5,$W27)+H5*Costs!$F$7+I5*Costs!$F$7+J5*Costs!$F$7) /($Q$9^(A5-$A$3+1))</f>
        <v>287143227.20649242</v>
      </c>
      <c r="Q5" s="13" t="s">
        <v>21</v>
      </c>
    </row>
    <row r="6" spans="1:27" x14ac:dyDescent="0.25">
      <c r="A6" s="14">
        <v>2022</v>
      </c>
      <c r="B6" s="15">
        <v>221798.89531580577</v>
      </c>
      <c r="C6" s="16">
        <v>50758.033921483468</v>
      </c>
      <c r="D6" s="16">
        <v>84613.380091729297</v>
      </c>
      <c r="E6" s="16">
        <v>171700.39440860518</v>
      </c>
      <c r="F6" s="16">
        <v>1173765.370300628</v>
      </c>
      <c r="G6" s="16">
        <v>0</v>
      </c>
      <c r="H6" s="16">
        <v>153379.93009847356</v>
      </c>
      <c r="I6" s="16">
        <v>78355.495425526373</v>
      </c>
      <c r="J6" s="16">
        <v>47612.016162265056</v>
      </c>
      <c r="K6" s="17">
        <f>SUM(B$3:B6)</f>
        <v>870657.42250275693</v>
      </c>
      <c r="L6" s="17">
        <f t="shared" si="1"/>
        <v>1042357.8169113621</v>
      </c>
      <c r="M6" s="17">
        <f t="shared" si="0"/>
        <v>926121.41961941833</v>
      </c>
      <c r="N6" s="17">
        <f>(F6*SUM(Costs!$F$4,Costs!$F$5)+G6*SUM(Costs!$F$4,Costs!$F$5,$W26)+H6*Costs!$F$7+I6*Costs!$F$7+J6*Costs!$F$7) /($Q$9^(A6-$A$3+1))</f>
        <v>281168442.80228955</v>
      </c>
      <c r="O6" s="17">
        <f>(F6*SUM(Costs!$F$4,Costs!$F$5)+G6*SUM(Costs!$F$4,Costs!$F$5,$W27)+H6*Costs!$F$7+I6*Costs!$F$7+J6*Costs!$F$7) /($Q$9^(A6-$A$3+1))</f>
        <v>281168442.80228955</v>
      </c>
      <c r="Q6" s="38">
        <v>500</v>
      </c>
    </row>
    <row r="7" spans="1:27" x14ac:dyDescent="0.25">
      <c r="A7" s="14">
        <v>2023</v>
      </c>
      <c r="B7" s="15">
        <v>224615.98543109157</v>
      </c>
      <c r="C7" s="16">
        <v>50252.264037458423</v>
      </c>
      <c r="D7" s="16">
        <v>84108.283706739021</v>
      </c>
      <c r="E7" s="16">
        <v>171202.58421671577</v>
      </c>
      <c r="F7" s="16">
        <v>1185426.9637363784</v>
      </c>
      <c r="G7" s="16">
        <v>0</v>
      </c>
      <c r="H7" s="16">
        <v>153840.32332615211</v>
      </c>
      <c r="I7" s="16">
        <v>77320.498881930762</v>
      </c>
      <c r="J7" s="16">
        <v>46188.088151405231</v>
      </c>
      <c r="K7" s="17">
        <f>SUM(B$3:B7)</f>
        <v>1095273.4079338484</v>
      </c>
      <c r="L7" s="17">
        <f t="shared" si="1"/>
        <v>1266475.9921505642</v>
      </c>
      <c r="M7" s="17">
        <f t="shared" si="0"/>
        <v>1092473.3160407264</v>
      </c>
      <c r="N7" s="17">
        <f>(F7*SUM(Costs!$F$4,Costs!$F$5)+G7*SUM(Costs!$F$4,Costs!$F$5,$W26)+H7*Costs!$F$7+I7*Costs!$F$7+J7*Costs!$F$7) /($Q$9^(A7-$A$3+1))</f>
        <v>275051603.90827769</v>
      </c>
      <c r="O7" s="17">
        <f>(F7*SUM(Costs!$F$4,Costs!$F$5)+G7*SUM(Costs!$F$4,Costs!$F$5,$W27)+H7*Costs!$F$7+I7*Costs!$F$7+J7*Costs!$F$7) /($Q$9^(A7-$A$3+1))</f>
        <v>275051603.90827769</v>
      </c>
      <c r="R7" s="20"/>
    </row>
    <row r="8" spans="1:27" x14ac:dyDescent="0.25">
      <c r="A8" s="14">
        <v>2024</v>
      </c>
      <c r="B8" s="15">
        <v>227490.86012122198</v>
      </c>
      <c r="C8" s="16">
        <v>49738.72255621339</v>
      </c>
      <c r="D8" s="16">
        <v>83635.934031954093</v>
      </c>
      <c r="E8" s="16">
        <v>170648.75684850622</v>
      </c>
      <c r="F8" s="16">
        <v>1196127.5231526254</v>
      </c>
      <c r="G8" s="16">
        <v>0</v>
      </c>
      <c r="H8" s="16">
        <v>154028.26269775929</v>
      </c>
      <c r="I8" s="16">
        <v>76317.997938746077</v>
      </c>
      <c r="J8" s="16">
        <v>44787.265560800246</v>
      </c>
      <c r="K8" s="17">
        <f>SUM(B$3:B8)</f>
        <v>1322764.2680550704</v>
      </c>
      <c r="L8" s="17">
        <f t="shared" si="1"/>
        <v>1493413.0249035766</v>
      </c>
      <c r="M8" s="17">
        <f t="shared" si="0"/>
        <v>1250709.8970830597</v>
      </c>
      <c r="N8" s="17">
        <f>(F8*SUM(Costs!$F$4,Costs!$F$5)+G8*SUM(Costs!$F$4,Costs!$F$5,$W26)+H8*Costs!$F$7+I8*Costs!$F$7+J8*Costs!$F$7) /($Q$9^(A8-$A$3+1))</f>
        <v>268837108.81375951</v>
      </c>
      <c r="O8" s="17">
        <f>(F8*SUM(Costs!$F$4,Costs!$F$5)+G8*SUM(Costs!$F$4,Costs!$F$5,$W27)+H8*Costs!$F$7+I8*Costs!$F$7+J8*Costs!$F$7) /($Q$9^(A8-$A$3+1))</f>
        <v>268837108.81375951</v>
      </c>
      <c r="Q8" s="13" t="s">
        <v>6</v>
      </c>
    </row>
    <row r="9" spans="1:27" x14ac:dyDescent="0.25">
      <c r="A9" s="14">
        <v>2025</v>
      </c>
      <c r="B9" s="15">
        <v>230042.06644193956</v>
      </c>
      <c r="C9" s="16">
        <v>48841.672897451499</v>
      </c>
      <c r="D9" s="16">
        <v>82674.71818649456</v>
      </c>
      <c r="E9" s="16">
        <v>169618.53240326728</v>
      </c>
      <c r="F9" s="16">
        <v>1209564.5473250838</v>
      </c>
      <c r="G9" s="16">
        <v>0</v>
      </c>
      <c r="H9" s="16">
        <v>151714.49639311465</v>
      </c>
      <c r="I9" s="16">
        <v>74342.536523129893</v>
      </c>
      <c r="J9" s="16">
        <v>42869.009060315075</v>
      </c>
      <c r="K9" s="17">
        <f>SUM(B$3:B9)</f>
        <v>1552806.3344970099</v>
      </c>
      <c r="L9" s="17">
        <f t="shared" si="1"/>
        <v>1722424.8669002771</v>
      </c>
      <c r="M9" s="17">
        <f t="shared" si="0"/>
        <v>1400489.0382033212</v>
      </c>
      <c r="N9" s="17">
        <f>(F9*SUM(Costs!$F$4,Costs!$F$5)+G9*SUM(Costs!$F$4,Costs!$F$5,$W26)+H9*Costs!$F$7+I9*Costs!$F$7+J9*Costs!$F$7) /($Q$9^(A9-$A$3+1))</f>
        <v>262764796.54431883</v>
      </c>
      <c r="O9" s="17">
        <f>(F9*SUM(Costs!$F$4,Costs!$F$5)+G9*SUM(Costs!$F$4,Costs!$F$5,$W27)+H9*Costs!$F$7+I9*Costs!$F$7+J9*Costs!$F$7) /($Q$9^(A9-$A$3+1))</f>
        <v>262764796.54431883</v>
      </c>
      <c r="Q9" s="19">
        <v>1.03</v>
      </c>
    </row>
    <row r="10" spans="1:27" x14ac:dyDescent="0.25">
      <c r="A10" s="14">
        <v>2026</v>
      </c>
      <c r="B10" s="15">
        <v>233011.02408520906</v>
      </c>
      <c r="C10" s="16">
        <v>48307.801432536231</v>
      </c>
      <c r="D10" s="16">
        <v>82221.119394157315</v>
      </c>
      <c r="E10" s="16">
        <v>168935.49367297612</v>
      </c>
      <c r="F10" s="16">
        <v>1218232.3466995535</v>
      </c>
      <c r="G10" s="16">
        <v>0</v>
      </c>
      <c r="H10" s="16">
        <v>151362.1655846443</v>
      </c>
      <c r="I10" s="16">
        <v>73368.822867143128</v>
      </c>
      <c r="J10" s="16">
        <v>41524.028097676637</v>
      </c>
      <c r="K10" s="17">
        <f>SUM(B$3:B10)</f>
        <v>1785817.3585822189</v>
      </c>
      <c r="L10" s="17">
        <f t="shared" si="1"/>
        <v>1954752.8522551949</v>
      </c>
      <c r="M10" s="17">
        <f t="shared" si="0"/>
        <v>1543099.9523717554</v>
      </c>
      <c r="N10" s="17">
        <f>(F10*SUM(Costs!$F$4,Costs!$F$5)+G10*SUM(Costs!$F$4,Costs!$F$5,$W26)+H10*Costs!$F$7+I10*Costs!$F$7+J10*Costs!$F$7) /($Q$9^(A10-$A$3+1))</f>
        <v>256375845.01043561</v>
      </c>
      <c r="O10" s="17">
        <f>(F10*SUM(Costs!$F$4,Costs!$F$5)+G10*SUM(Costs!$F$4,Costs!$F$5,$W27)+H10*Costs!$F$7+I10*Costs!$F$7+J10*Costs!$F$7) /($Q$9^(A10-$A$3+1))</f>
        <v>256375845.01043561</v>
      </c>
    </row>
    <row r="11" spans="1:27" x14ac:dyDescent="0.25">
      <c r="A11" s="14">
        <v>2027</v>
      </c>
      <c r="B11" s="15">
        <v>236397.05390760914</v>
      </c>
      <c r="C11" s="16">
        <v>48142.622295739246</v>
      </c>
      <c r="D11" s="16">
        <v>82306.10889853086</v>
      </c>
      <c r="E11" s="16">
        <v>168610.55328227044</v>
      </c>
      <c r="F11" s="16">
        <v>1222259.6643609132</v>
      </c>
      <c r="G11" s="16">
        <v>0</v>
      </c>
      <c r="H11" s="16">
        <v>153083.30279463821</v>
      </c>
      <c r="I11" s="16">
        <v>73404.761388206141</v>
      </c>
      <c r="J11" s="16">
        <v>40726.853002885306</v>
      </c>
      <c r="K11" s="17">
        <f>SUM(B$3:B11)</f>
        <v>2022214.412489828</v>
      </c>
      <c r="L11" s="17">
        <f t="shared" si="1"/>
        <v>2190824.9657720984</v>
      </c>
      <c r="M11" s="17">
        <f t="shared" si="0"/>
        <v>1679084.91140389</v>
      </c>
      <c r="N11" s="17">
        <f>(F11*SUM(Costs!$F$4,Costs!$F$5)+G11*SUM(Costs!$F$4,Costs!$F$5,$W26)+H11*Costs!$F$7+I11*Costs!$F$7+J11*Costs!$F$7) /($Q$9^(A11-$A$3+1))</f>
        <v>249740933.21010941</v>
      </c>
      <c r="O11" s="17">
        <f>(F11*SUM(Costs!$F$4,Costs!$F$5)+G11*SUM(Costs!$F$4,Costs!$F$5,$W27)+H11*Costs!$F$7+I11*Costs!$F$7+J11*Costs!$F$7) /($Q$9^(A11-$A$3+1))</f>
        <v>249740933.21010941</v>
      </c>
    </row>
    <row r="12" spans="1:27" s="27" customFormat="1" x14ac:dyDescent="0.25">
      <c r="A12" s="23">
        <v>2028</v>
      </c>
      <c r="B12" s="24">
        <v>239452.78800069052</v>
      </c>
      <c r="C12" s="25">
        <v>47601.556451346645</v>
      </c>
      <c r="D12" s="25">
        <v>81923.836039720205</v>
      </c>
      <c r="E12" s="25">
        <v>167847.04295718594</v>
      </c>
      <c r="F12" s="25">
        <v>1229293.7761265058</v>
      </c>
      <c r="G12" s="25">
        <v>0</v>
      </c>
      <c r="H12" s="25">
        <v>152332.59683516991</v>
      </c>
      <c r="I12" s="25">
        <v>72469.039080424918</v>
      </c>
      <c r="J12" s="25">
        <v>39437.881791030552</v>
      </c>
      <c r="K12" s="26">
        <f>SUM(B$3:B12)</f>
        <v>2261667.2004905185</v>
      </c>
      <c r="L12" s="26">
        <f t="shared" si="1"/>
        <v>2429514.2434477042</v>
      </c>
      <c r="M12" s="26">
        <f t="shared" si="0"/>
        <v>1807786.7647043578</v>
      </c>
      <c r="N12" s="26">
        <f>(F12*SUM(Costs!$F$4,Costs!$F$5)+G12*SUM(Costs!$F$4,Costs!$F$5,$W26)+H12*Costs!$F$7+I12*Costs!$F$7+J12*Costs!$F$7) /($Q$9^(A12-$A$3+1))</f>
        <v>243340752.43424487</v>
      </c>
      <c r="O12" s="26">
        <f>(F12*SUM(Costs!$F$4,Costs!$F$5)+G12*SUM(Costs!$F$4,Costs!$F$5,$W27)+H12*Costs!$F$7+I12*Costs!$F$7+J12*Costs!$F$7) /($Q$9^(A12-$A$3+1))</f>
        <v>243340752.43424487</v>
      </c>
      <c r="V12" s="28"/>
    </row>
    <row r="13" spans="1:27" x14ac:dyDescent="0.25">
      <c r="A13" s="12" t="s">
        <v>0</v>
      </c>
      <c r="B13" s="6">
        <f>SUM(B3:B12)</f>
        <v>2261667.2004905185</v>
      </c>
      <c r="C13" s="6">
        <f>SUM(C3:C12)</f>
        <v>498491.34062020644</v>
      </c>
      <c r="D13" s="6">
        <f t="shared" ref="D13:O13" si="2">SUM(D3:D12)</f>
        <v>838068.70961714676</v>
      </c>
      <c r="E13" s="6">
        <f t="shared" si="2"/>
        <v>1705501.882899089</v>
      </c>
      <c r="F13" s="6">
        <f t="shared" si="2"/>
        <v>11879184.686381932</v>
      </c>
      <c r="G13" s="6">
        <f t="shared" si="2"/>
        <v>0</v>
      </c>
      <c r="H13" s="6">
        <f t="shared" si="2"/>
        <v>1522336.8128194171</v>
      </c>
      <c r="I13" s="6">
        <f t="shared" si="2"/>
        <v>766171.28970264341</v>
      </c>
      <c r="J13" s="6">
        <f t="shared" si="2"/>
        <v>454023.91430425504</v>
      </c>
      <c r="K13" s="6">
        <f t="shared" si="2"/>
        <v>12203674.560997412</v>
      </c>
      <c r="L13" s="6">
        <f t="shared" si="2"/>
        <v>13909176.443896502</v>
      </c>
      <c r="M13" s="6">
        <f t="shared" si="2"/>
        <v>11393702.23014465</v>
      </c>
      <c r="N13" s="6">
        <f t="shared" si="2"/>
        <v>2716282040.9532661</v>
      </c>
      <c r="O13" s="6">
        <f t="shared" si="2"/>
        <v>2716282040.9532661</v>
      </c>
      <c r="V13" s="18"/>
    </row>
    <row r="15" spans="1:27" ht="15" x14ac:dyDescent="0.4">
      <c r="B15" s="7" t="s">
        <v>116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212112.93707153926</v>
      </c>
      <c r="C17" s="16">
        <v>50531.432688247842</v>
      </c>
      <c r="D17" s="16">
        <v>83772.646093587668</v>
      </c>
      <c r="E17" s="16">
        <v>170534.61482522698</v>
      </c>
      <c r="F17" s="16">
        <v>1021698.619408884</v>
      </c>
      <c r="G17" s="16">
        <v>110598.23152011418</v>
      </c>
      <c r="H17" s="16">
        <v>150223.58043431581</v>
      </c>
      <c r="I17" s="16">
        <v>81652.443022202249</v>
      </c>
      <c r="J17" s="16">
        <v>51937.091798012632</v>
      </c>
      <c r="K17" s="17">
        <f>SUM(B$17:B17)</f>
        <v>212112.93707153926</v>
      </c>
      <c r="L17" s="17">
        <f>SUM(E17,K17)</f>
        <v>382647.55189676624</v>
      </c>
      <c r="M17" s="17">
        <f t="shared" ref="M17:M26" si="3">L17/($Q$9^(A17-$A$3+1))</f>
        <v>371502.47756967595</v>
      </c>
      <c r="N17" s="17">
        <f>(F17*SUM(Costs!$F$4,Costs!$F$5)+G17*SUM(Costs!$F$4,Costs!$F$5,$W26)+H17*Costs!$F$7+I17*Costs!$F$7+J17*Costs!$F$7) /($Q$9^(A17-$A$3+1))</f>
        <v>305488642.01353008</v>
      </c>
      <c r="O17" s="17">
        <f>(F17*SUM(Costs!$F$4,Costs!$F$5)+G17*SUM(Costs!$F$4,Costs!$F$5,$W27)+H17*Costs!$F$7+I17*Costs!$F$7+J17*Costs!$F$7) /($Q$9^(A17-$A$3+1))</f>
        <v>317089561.59021318</v>
      </c>
      <c r="Q17" s="32">
        <f>M$3-M17</f>
        <v>3808.8783735801699</v>
      </c>
      <c r="R17" s="27">
        <f>B$3-B17</f>
        <v>1691.9565342518035</v>
      </c>
      <c r="S17" s="27">
        <f>D$3-D17</f>
        <v>2490.3712443519471</v>
      </c>
      <c r="T17" s="27"/>
      <c r="U17" s="33"/>
      <c r="W17" s="55"/>
    </row>
    <row r="18" spans="1:26" x14ac:dyDescent="0.25">
      <c r="A18" s="14">
        <v>2020</v>
      </c>
      <c r="B18" s="15">
        <v>214362.09199972218</v>
      </c>
      <c r="C18" s="16">
        <v>49722.041623296886</v>
      </c>
      <c r="D18" s="16">
        <v>82645.798619039429</v>
      </c>
      <c r="E18" s="16">
        <v>169841.9303424494</v>
      </c>
      <c r="F18" s="16">
        <v>1042322.4243918967</v>
      </c>
      <c r="G18" s="16">
        <v>107815.5760114548</v>
      </c>
      <c r="H18" s="16">
        <v>149233.07681604449</v>
      </c>
      <c r="I18" s="16">
        <v>79493.044682527732</v>
      </c>
      <c r="J18" s="16">
        <v>49886.859170089418</v>
      </c>
      <c r="K18" s="17">
        <f>SUM(B$17:B18)</f>
        <v>426475.02907126141</v>
      </c>
      <c r="L18" s="17">
        <f>SUM(E18,K18)</f>
        <v>596316.95941371075</v>
      </c>
      <c r="M18" s="17">
        <f t="shared" si="3"/>
        <v>562085.92649044283</v>
      </c>
      <c r="N18" s="17">
        <f>(F18*SUM(Costs!$F$4,Costs!$F$5)+G18*SUM(Costs!$F$4,Costs!$F$5,$W26)+H18*Costs!$F$7+I18*Costs!$F$7+J18*Costs!$F$7) /($Q$9^(A18-$A$3+1))</f>
        <v>299572493.90032136</v>
      </c>
      <c r="O18" s="17">
        <f>(F18*SUM(Costs!$F$4,Costs!$F$5)+G18*SUM(Costs!$F$4,Costs!$F$5,$W27)+H18*Costs!$F$7+I18*Costs!$F$7+J18*Costs!$F$7) /($Q$9^(A18-$A$3+1))</f>
        <v>310552144.40535522</v>
      </c>
      <c r="Q18" s="32">
        <f>M$4-M18</f>
        <v>5224.3293565387139</v>
      </c>
      <c r="R18" s="27">
        <f>B$4-B18</f>
        <v>1643.7500479067967</v>
      </c>
      <c r="S18" s="27">
        <f>D$4-D18</f>
        <v>2543.3401360654971</v>
      </c>
      <c r="T18" s="27"/>
      <c r="U18" s="33"/>
    </row>
    <row r="19" spans="1:26" x14ac:dyDescent="0.25">
      <c r="A19" s="14">
        <v>2021</v>
      </c>
      <c r="B19" s="15">
        <v>217461.16028597279</v>
      </c>
      <c r="C19" s="16">
        <v>49657.67575958668</v>
      </c>
      <c r="D19" s="16">
        <v>82558.345662724561</v>
      </c>
      <c r="E19" s="16">
        <v>169940.60612364122</v>
      </c>
      <c r="F19" s="16">
        <v>1055237.3706715142</v>
      </c>
      <c r="G19" s="16">
        <v>104319.90400371069</v>
      </c>
      <c r="H19" s="16">
        <v>152057.313945831</v>
      </c>
      <c r="I19" s="16">
        <v>79362.046937860418</v>
      </c>
      <c r="J19" s="16">
        <v>49032.651038846445</v>
      </c>
      <c r="K19" s="17">
        <f>SUM(B$17:B19)</f>
        <v>643936.18935723417</v>
      </c>
      <c r="L19" s="17">
        <f t="shared" ref="L19:L26" si="4">SUM(E19,K19)</f>
        <v>813876.79548087541</v>
      </c>
      <c r="M19" s="17">
        <f t="shared" si="3"/>
        <v>744812.56112540036</v>
      </c>
      <c r="N19" s="17">
        <f>(F19*SUM(Costs!$F$4,Costs!$F$5)+G19*SUM(Costs!$F$4,Costs!$F$5,$W26)+H19*Costs!$F$7+I19*Costs!$F$7+J19*Costs!$F$7) /($Q$9^(A19-$A$3+1))</f>
        <v>292907064.81172842</v>
      </c>
      <c r="O19" s="17">
        <f>(F19*SUM(Costs!$F$4,Costs!$F$5)+G19*SUM(Costs!$F$4,Costs!$F$5,$W27)+H19*Costs!$F$7+I19*Costs!$F$7+J19*Costs!$F$7) /($Q$9^(A19-$A$3+1))</f>
        <v>303221298.40162224</v>
      </c>
      <c r="Q19" s="32">
        <f>M$5-M19</f>
        <v>6502.7578024817631</v>
      </c>
      <c r="R19" s="27">
        <f>B$5-B19</f>
        <v>1586.6312475583691</v>
      </c>
      <c r="S19" s="27">
        <f>D$5-D19</f>
        <v>2574.8275120523176</v>
      </c>
      <c r="T19" s="27"/>
      <c r="U19" s="33"/>
    </row>
    <row r="20" spans="1:26" x14ac:dyDescent="0.25">
      <c r="A20" s="14">
        <v>2022</v>
      </c>
      <c r="B20" s="15">
        <v>220263.00001071536</v>
      </c>
      <c r="C20" s="16">
        <v>49208.068328378475</v>
      </c>
      <c r="D20" s="16">
        <v>81978.042270020465</v>
      </c>
      <c r="E20" s="16">
        <v>169517.71740387182</v>
      </c>
      <c r="F20" s="16">
        <v>1070358.945988379</v>
      </c>
      <c r="G20" s="16">
        <v>101177.88541143757</v>
      </c>
      <c r="H20" s="16">
        <v>152583.84995734235</v>
      </c>
      <c r="I20" s="16">
        <v>78252.738183814465</v>
      </c>
      <c r="J20" s="16">
        <v>47590.987782910866</v>
      </c>
      <c r="K20" s="17">
        <f>SUM(B$17:B20)</f>
        <v>864199.1893679495</v>
      </c>
      <c r="L20" s="17">
        <f t="shared" si="4"/>
        <v>1033716.9067718213</v>
      </c>
      <c r="M20" s="17">
        <f t="shared" si="3"/>
        <v>918444.08287823305</v>
      </c>
      <c r="N20" s="17">
        <f>(F20*SUM(Costs!$F$4,Costs!$F$5)+G20*SUM(Costs!$F$4,Costs!$F$5,$W26)+H20*Costs!$F$7+I20*Costs!$F$7+J20*Costs!$F$7) /($Q$9^(A20-$A$3+1))</f>
        <v>286392182.68378514</v>
      </c>
      <c r="O20" s="17">
        <f>(F20*SUM(Costs!$F$4,Costs!$F$5)+G20*SUM(Costs!$F$4,Costs!$F$5,$W27)+H20*Costs!$F$7+I20*Costs!$F$7+J20*Costs!$F$7) /($Q$9^(A20-$A$3+1))</f>
        <v>296104394.77737588</v>
      </c>
      <c r="Q20" s="32">
        <f>M$6-M20</f>
        <v>7677.3367411852814</v>
      </c>
      <c r="R20" s="27">
        <f>B$6-B20</f>
        <v>1535.8953050904092</v>
      </c>
      <c r="S20" s="27">
        <f>D$6-D20</f>
        <v>2635.3378217088321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223127.23579275858</v>
      </c>
      <c r="C21" s="16">
        <v>48743.856866445334</v>
      </c>
      <c r="D21" s="16">
        <v>81393.713318011651</v>
      </c>
      <c r="E21" s="16">
        <v>169001.49149839266</v>
      </c>
      <c r="F21" s="16">
        <v>1084293.1004119052</v>
      </c>
      <c r="G21" s="16">
        <v>98049.016347524943</v>
      </c>
      <c r="H21" s="16">
        <v>152852.03376616194</v>
      </c>
      <c r="I21" s="16">
        <v>77152.93388572587</v>
      </c>
      <c r="J21" s="16">
        <v>46156.818561950357</v>
      </c>
      <c r="K21" s="17">
        <f>SUM(B$17:B21)</f>
        <v>1087326.4251607081</v>
      </c>
      <c r="L21" s="17">
        <f t="shared" si="4"/>
        <v>1256327.9166591009</v>
      </c>
      <c r="M21" s="17">
        <f t="shared" si="3"/>
        <v>1083719.4969771965</v>
      </c>
      <c r="N21" s="17">
        <f>(F21*SUM(Costs!$F$4,Costs!$F$5)+G21*SUM(Costs!$F$4,Costs!$F$5,$W26)+H21*Costs!$F$7+I21*Costs!$F$7+J21*Costs!$F$7) /($Q$9^(A21-$A$3+1))</f>
        <v>279741067.2908262</v>
      </c>
      <c r="O21" s="17">
        <f>(F21*SUM(Costs!$F$4,Costs!$F$5)+G21*SUM(Costs!$F$4,Costs!$F$5,$W27)+H21*Costs!$F$7+I21*Costs!$F$7+J21*Costs!$F$7) /($Q$9^(A21-$A$3+1))</f>
        <v>288878802.64051813</v>
      </c>
      <c r="Q21" s="32">
        <f>M$7-M21</f>
        <v>8753.8190635298379</v>
      </c>
      <c r="R21" s="27">
        <f>B$7-B21</f>
        <v>1488.7496383329853</v>
      </c>
      <c r="S21" s="27">
        <f>D$7-D21</f>
        <v>2714.5703887273703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226044.25174366447</v>
      </c>
      <c r="C22" s="16">
        <v>48266.386317705888</v>
      </c>
      <c r="D22" s="16">
        <v>80828.582161961051</v>
      </c>
      <c r="E22" s="16">
        <v>168408.88351764946</v>
      </c>
      <c r="F22" s="16">
        <v>1097104.2084239952</v>
      </c>
      <c r="G22" s="16">
        <v>94970.44466155034</v>
      </c>
      <c r="H22" s="16">
        <v>152858.77104095384</v>
      </c>
      <c r="I22" s="16">
        <v>76069.478436520614</v>
      </c>
      <c r="J22" s="16">
        <v>44742.693325311826</v>
      </c>
      <c r="K22" s="17">
        <f>SUM(B$17:B22)</f>
        <v>1313370.6769043726</v>
      </c>
      <c r="L22" s="17">
        <f t="shared" si="4"/>
        <v>1481779.5604220221</v>
      </c>
      <c r="M22" s="17">
        <f t="shared" si="3"/>
        <v>1240967.0537290694</v>
      </c>
      <c r="N22" s="17">
        <f>(F22*SUM(Costs!$F$4,Costs!$F$5)+G22*SUM(Costs!$F$4,Costs!$F$5,$W26)+H22*Costs!$F$7+I22*Costs!$F$7+J22*Costs!$F$7) /($Q$9^(A22-$A$3+1))</f>
        <v>272998877.2238757</v>
      </c>
      <c r="O22" s="17">
        <f>(F22*SUM(Costs!$F$4,Costs!$F$5)+G22*SUM(Costs!$F$4,Costs!$F$5,$W27)+H22*Costs!$F$7+I22*Costs!$F$7+J22*Costs!$F$7) /($Q$9^(A22-$A$3+1))</f>
        <v>281591912.23669136</v>
      </c>
      <c r="Q22" s="32">
        <f>M$8-M22</f>
        <v>9742.8433539902326</v>
      </c>
      <c r="R22" s="27">
        <f>B$8-B22</f>
        <v>1446.6083775575098</v>
      </c>
      <c r="S22" s="27">
        <f>D$8-D22</f>
        <v>2807.3518699930428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228628.63558894908</v>
      </c>
      <c r="C23" s="16">
        <v>47396.036422585115</v>
      </c>
      <c r="D23" s="16">
        <v>79762.071405504044</v>
      </c>
      <c r="E23" s="16">
        <v>167315.74901791482</v>
      </c>
      <c r="F23" s="16">
        <v>1112180.865666108</v>
      </c>
      <c r="G23" s="16">
        <v>92232.138590326082</v>
      </c>
      <c r="H23" s="16">
        <v>150379.00503713897</v>
      </c>
      <c r="I23" s="16">
        <v>74004.738173687874</v>
      </c>
      <c r="J23" s="16">
        <v>42809.250097781558</v>
      </c>
      <c r="K23" s="17">
        <f>SUM(B$17:B23)</f>
        <v>1541999.3124933217</v>
      </c>
      <c r="L23" s="17">
        <f t="shared" si="4"/>
        <v>1709315.0615112365</v>
      </c>
      <c r="M23" s="17">
        <f t="shared" si="3"/>
        <v>1389829.566726129</v>
      </c>
      <c r="N23" s="17">
        <f>(F23*SUM(Costs!$F$4,Costs!$F$5)+G23*SUM(Costs!$F$4,Costs!$F$5,$W26)+H23*Costs!$F$7+I23*Costs!$F$7+J23*Costs!$F$7) /($Q$9^(A23-$A$3+1))</f>
        <v>266419433.08033615</v>
      </c>
      <c r="O23" s="17">
        <f>(F23*SUM(Costs!$F$4,Costs!$F$5)+G23*SUM(Costs!$F$4,Costs!$F$5,$W27)+H23*Costs!$F$7+I23*Costs!$F$7+J23*Costs!$F$7) /($Q$9^(A23-$A$3+1))</f>
        <v>274521636.89730924</v>
      </c>
      <c r="Q23" s="32">
        <f>M$9-M23</f>
        <v>10659.471477192128</v>
      </c>
      <c r="R23" s="27">
        <f>B$9-B23</f>
        <v>1413.4308529904811</v>
      </c>
      <c r="S23" s="27">
        <f>D$9-D23</f>
        <v>2912.6467809905153</v>
      </c>
      <c r="T23" s="27"/>
      <c r="U23" s="33"/>
    </row>
    <row r="24" spans="1:26" ht="13.8" thickBot="1" x14ac:dyDescent="0.3">
      <c r="A24" s="14">
        <v>2026</v>
      </c>
      <c r="B24" s="15">
        <v>231627.23063679424</v>
      </c>
      <c r="C24" s="16">
        <v>46884.975799668478</v>
      </c>
      <c r="D24" s="16">
        <v>79198.061279308487</v>
      </c>
      <c r="E24" s="16">
        <v>166552.5430006815</v>
      </c>
      <c r="F24" s="16">
        <v>1122609.1020269312</v>
      </c>
      <c r="G24" s="16">
        <v>89269.352632074981</v>
      </c>
      <c r="H24" s="16">
        <v>149859.34239637223</v>
      </c>
      <c r="I24" s="16">
        <v>72926.180510859806</v>
      </c>
      <c r="J24" s="16">
        <v>41443.005088195379</v>
      </c>
      <c r="K24" s="17">
        <f>SUM(B$17:B24)</f>
        <v>1773626.5431301161</v>
      </c>
      <c r="L24" s="17">
        <f t="shared" si="4"/>
        <v>1940179.0861307976</v>
      </c>
      <c r="M24" s="17">
        <f t="shared" si="3"/>
        <v>1531595.2868144247</v>
      </c>
      <c r="N24" s="17">
        <f>(F24*SUM(Costs!$F$4,Costs!$F$5)+G24*SUM(Costs!$F$4,Costs!$F$5,$W26)+H24*Costs!$F$7+I24*Costs!$F$7+J24*Costs!$F$7) /($Q$9^(A24-$A$3+1))</f>
        <v>259516047.98767424</v>
      </c>
      <c r="O24" s="17">
        <f>(F24*SUM(Costs!$F$4,Costs!$F$5)+G24*SUM(Costs!$F$4,Costs!$F$5,$W27)+H24*Costs!$F$7+I24*Costs!$F$7+J24*Costs!$F$7) /($Q$9^(A24-$A$3+1))</f>
        <v>267129577.68124044</v>
      </c>
      <c r="Q24" s="32">
        <f>M$10-M24</f>
        <v>11504.665557330707</v>
      </c>
      <c r="R24" s="27">
        <f>B$10-B24</f>
        <v>1383.7934484148282</v>
      </c>
      <c r="S24" s="27">
        <f>D$10-D24</f>
        <v>3023.0581148488272</v>
      </c>
      <c r="T24" s="27"/>
      <c r="U24" s="33"/>
    </row>
    <row r="25" spans="1:26" x14ac:dyDescent="0.25">
      <c r="A25" s="14">
        <v>2027</v>
      </c>
      <c r="B25" s="15">
        <v>235037.47090769449</v>
      </c>
      <c r="C25" s="16">
        <v>46736.874431081524</v>
      </c>
      <c r="D25" s="16">
        <v>79162.871003705368</v>
      </c>
      <c r="E25" s="16">
        <v>166127.82841231255</v>
      </c>
      <c r="F25" s="16">
        <v>1128444.7546306385</v>
      </c>
      <c r="G25" s="16">
        <v>86161.856663949642</v>
      </c>
      <c r="H25" s="16">
        <v>151406.20976081095</v>
      </c>
      <c r="I25" s="16">
        <v>72839.994587544381</v>
      </c>
      <c r="J25" s="16">
        <v>40616.838477190315</v>
      </c>
      <c r="K25" s="17">
        <f>SUM(B$17:B25)</f>
        <v>2008664.0140378105</v>
      </c>
      <c r="L25" s="17">
        <f t="shared" si="4"/>
        <v>2174791.8424501233</v>
      </c>
      <c r="M25" s="17">
        <f t="shared" si="3"/>
        <v>1666796.8574181995</v>
      </c>
      <c r="N25" s="17">
        <f>(F25*SUM(Costs!$F$4,Costs!$F$5)+G25*SUM(Costs!$F$4,Costs!$F$5,$W26)+H25*Costs!$F$7+I25*Costs!$F$7+J25*Costs!$F$7) /($Q$9^(A25-$A$3+1))</f>
        <v>252365334.99458772</v>
      </c>
      <c r="O25" s="17">
        <f>(F25*SUM(Costs!$F$4,Costs!$F$5)+G25*SUM(Costs!$F$4,Costs!$F$5,$W27)+H25*Costs!$F$7+I25*Costs!$F$7+J25*Costs!$F$7) /($Q$9^(A25-$A$3+1))</f>
        <v>259499801.19179124</v>
      </c>
      <c r="Q25" s="32">
        <f>M$11-M25</f>
        <v>12288.053985690465</v>
      </c>
      <c r="R25" s="27">
        <f>B$11-B25</f>
        <v>1359.5829999146517</v>
      </c>
      <c r="S25" s="27">
        <f>D$11-D25</f>
        <v>3143.2378948254918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238107.8071080283</v>
      </c>
      <c r="C26" s="25">
        <v>46202.995046270378</v>
      </c>
      <c r="D26" s="25">
        <v>78649.206326688349</v>
      </c>
      <c r="E26" s="25">
        <v>165241.47979513518</v>
      </c>
      <c r="F26" s="25">
        <v>1136731.9642466297</v>
      </c>
      <c r="G26" s="25">
        <v>83466.597018301021</v>
      </c>
      <c r="H26" s="25">
        <v>150492.94713639285</v>
      </c>
      <c r="I26" s="25">
        <v>71784.524833101706</v>
      </c>
      <c r="J26" s="25">
        <v>39296.354190934231</v>
      </c>
      <c r="K26" s="26">
        <f>SUM(B$17:B26)</f>
        <v>2246771.8211458386</v>
      </c>
      <c r="L26" s="26">
        <f t="shared" si="4"/>
        <v>2412013.3009409737</v>
      </c>
      <c r="M26" s="26">
        <f t="shared" si="3"/>
        <v>1794764.419880142</v>
      </c>
      <c r="N26" s="26">
        <f>(F26*SUM(Costs!$F$4,Costs!$F$5)+G26*SUM(Costs!$F$4,Costs!$F$5,$W26)+H26*Costs!$F$7+I26*Costs!$F$7+J26*Costs!$F$7) /($Q$9^(A26-$A$3+1))</f>
        <v>245473147.23446879</v>
      </c>
      <c r="O26" s="26">
        <f>(F26*SUM(Costs!$F$4,Costs!$F$5)+G26*SUM(Costs!$F$4,Costs!$F$5,$W27)+H26*Costs!$F$7+I26*Costs!$F$7+J26*Costs!$F$7) /($Q$9^(A26-$A$3+1))</f>
        <v>252183137.93903852</v>
      </c>
      <c r="Q26" s="35">
        <f>M$12-M26</f>
        <v>13022.344824215863</v>
      </c>
      <c r="R26" s="27">
        <f>B$12-B26</f>
        <v>1344.9808926622209</v>
      </c>
      <c r="S26" s="27">
        <f>D$12-D26</f>
        <v>3274.6297130318562</v>
      </c>
      <c r="T26" s="42"/>
      <c r="U26" s="36"/>
      <c r="W26" s="43">
        <v>64.645458788843357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2246771.8211458386</v>
      </c>
      <c r="C27" s="6">
        <f>SUM(C17:C26)</f>
        <v>483350.34328326664</v>
      </c>
      <c r="D27" s="6">
        <f t="shared" si="5"/>
        <v>809949.33814055123</v>
      </c>
      <c r="E27" s="6">
        <f t="shared" si="5"/>
        <v>1682482.8439372757</v>
      </c>
      <c r="F27" s="6">
        <f t="shared" si="5"/>
        <v>10870981.355866883</v>
      </c>
      <c r="G27" s="6">
        <f t="shared" si="5"/>
        <v>968061.00286044425</v>
      </c>
      <c r="H27" s="6">
        <f t="shared" si="5"/>
        <v>1511946.1302913644</v>
      </c>
      <c r="I27" s="6">
        <f t="shared" si="5"/>
        <v>763538.12325384503</v>
      </c>
      <c r="J27" s="6">
        <f t="shared" si="5"/>
        <v>453512.54953122296</v>
      </c>
      <c r="K27" s="6">
        <f t="shared" si="5"/>
        <v>12118482.137740152</v>
      </c>
      <c r="L27" s="6">
        <f t="shared" si="5"/>
        <v>13800964.981677428</v>
      </c>
      <c r="M27" s="6">
        <f t="shared" si="5"/>
        <v>11304517.729608916</v>
      </c>
      <c r="N27" s="6">
        <f t="shared" si="5"/>
        <v>2760874291.2211347</v>
      </c>
      <c r="O27" s="6">
        <f t="shared" si="5"/>
        <v>2850772267.7611551</v>
      </c>
      <c r="Q27" s="6">
        <f>SUM(Q17:Q26)</f>
        <v>89184.500535735162</v>
      </c>
      <c r="R27" s="37">
        <f>SUM(R17:R26)</f>
        <v>14895.379344680056</v>
      </c>
      <c r="S27" s="37">
        <f>SUM(S17:S26)</f>
        <v>28119.371476595697</v>
      </c>
      <c r="T27" s="18">
        <f>(N27-N$13)/Q27</f>
        <v>500.00000000001052</v>
      </c>
      <c r="U27" s="18">
        <f>(O27-O$13)/Q27</f>
        <v>1508.0000000000041</v>
      </c>
      <c r="W27" s="44">
        <v>172.68468328413229</v>
      </c>
      <c r="X27" s="50">
        <f>$Q$3</f>
        <v>1508</v>
      </c>
      <c r="Y27" s="22" t="s">
        <v>61</v>
      </c>
    </row>
    <row r="29" spans="1:26" x14ac:dyDescent="0.25">
      <c r="H29" s="34"/>
    </row>
    <row r="30" spans="1:26" x14ac:dyDescent="0.25">
      <c r="H30" s="34"/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7"/>
  <sheetViews>
    <sheetView zoomScale="90" zoomScaleNormal="90" workbookViewId="0">
      <pane xSplit="1" ySplit="2" topLeftCell="B3" activePane="bottomRight" state="frozen"/>
      <selection activeCell="H11" sqref="H11"/>
      <selection pane="topRight" activeCell="H11" sqref="H11"/>
      <selection pane="bottomLeft" activeCell="H11" sqref="H11"/>
      <selection pane="bottomRight" activeCell="U27" sqref="U27"/>
    </sheetView>
  </sheetViews>
  <sheetFormatPr defaultColWidth="9.109375" defaultRowHeight="13.2" x14ac:dyDescent="0.25"/>
  <cols>
    <col min="1" max="1" width="7.5546875" style="6" customWidth="1"/>
    <col min="2" max="4" width="13.33203125" style="6" customWidth="1"/>
    <col min="5" max="10" width="13.44140625" style="6" customWidth="1"/>
    <col min="11" max="11" width="13.33203125" style="6" customWidth="1"/>
    <col min="12" max="12" width="14.33203125" style="6" customWidth="1"/>
    <col min="13" max="14" width="18.44140625" style="6" customWidth="1"/>
    <col min="15" max="15" width="22" style="6" customWidth="1"/>
    <col min="16" max="16" width="5.44140625" style="6" customWidth="1"/>
    <col min="17" max="17" width="17.44140625" style="6" customWidth="1"/>
    <col min="18" max="19" width="14.6640625" style="6" customWidth="1"/>
    <col min="20" max="20" width="16.109375" style="6" customWidth="1"/>
    <col min="21" max="21" width="18" style="6" customWidth="1"/>
    <col min="22" max="22" width="3.33203125" style="6" customWidth="1"/>
    <col min="23" max="23" width="31.44140625" style="6" customWidth="1"/>
    <col min="24" max="24" width="11.33203125" style="45" customWidth="1"/>
    <col min="25" max="28" width="9.6640625" style="6" customWidth="1"/>
    <col min="29" max="35" width="8.6640625" style="6" customWidth="1"/>
    <col min="36" max="16384" width="9.109375" style="6"/>
  </cols>
  <sheetData>
    <row r="1" spans="1:27" ht="15" x14ac:dyDescent="0.4">
      <c r="B1" s="7" t="s">
        <v>118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46"/>
      <c r="Y1" s="12"/>
      <c r="Z1" s="12"/>
      <c r="AA1" s="12"/>
    </row>
    <row r="2" spans="1:27" s="12" customFormat="1" ht="26.4" customHeight="1" x14ac:dyDescent="0.25">
      <c r="A2" s="9" t="s">
        <v>16</v>
      </c>
      <c r="B2" s="10" t="s">
        <v>3</v>
      </c>
      <c r="C2" s="11" t="s">
        <v>19</v>
      </c>
      <c r="D2" s="11" t="s">
        <v>4</v>
      </c>
      <c r="E2" s="11" t="s">
        <v>1</v>
      </c>
      <c r="F2" s="11" t="s">
        <v>10</v>
      </c>
      <c r="G2" s="11" t="s">
        <v>14</v>
      </c>
      <c r="H2" s="11" t="s">
        <v>13</v>
      </c>
      <c r="I2" s="11" t="s">
        <v>11</v>
      </c>
      <c r="J2" s="11" t="s">
        <v>12</v>
      </c>
      <c r="K2" s="11" t="s">
        <v>2</v>
      </c>
      <c r="L2" s="11" t="s">
        <v>17</v>
      </c>
      <c r="M2" s="11" t="s">
        <v>18</v>
      </c>
      <c r="N2" s="40" t="s">
        <v>27</v>
      </c>
      <c r="O2" s="40" t="s">
        <v>58</v>
      </c>
      <c r="Q2" s="13" t="s">
        <v>5</v>
      </c>
      <c r="R2" s="6"/>
    </row>
    <row r="3" spans="1:27" x14ac:dyDescent="0.25">
      <c r="A3" s="14">
        <v>2019</v>
      </c>
      <c r="B3" s="15">
        <v>222427.15058007539</v>
      </c>
      <c r="C3" s="16">
        <v>60863.366574293708</v>
      </c>
      <c r="D3" s="16">
        <v>97440.591322252862</v>
      </c>
      <c r="E3" s="16">
        <v>182946.92299686407</v>
      </c>
      <c r="F3" s="16">
        <v>1133349.6980085499</v>
      </c>
      <c r="G3" s="16">
        <v>0</v>
      </c>
      <c r="H3" s="16">
        <v>150622.18349829878</v>
      </c>
      <c r="I3" s="16">
        <v>81733.882101103984</v>
      </c>
      <c r="J3" s="16">
        <v>51940.479116576193</v>
      </c>
      <c r="K3" s="17">
        <f>SUM(B$3:B3)</f>
        <v>222427.15058007539</v>
      </c>
      <c r="L3" s="17">
        <f>SUM(E3,K3)</f>
        <v>405374.07357693947</v>
      </c>
      <c r="M3" s="17">
        <f t="shared" ref="M3:M12" si="0">L3/($Q$9^(A3-$A$3+1))</f>
        <v>393567.06172518391</v>
      </c>
      <c r="N3" s="17">
        <f>(F3*SUM(Costs!$F$4,Costs!$F$5)+G3*SUM(Costs!$F$4,Costs!$F$5,$W26)+H3*Costs!$F$7+I3*Costs!$F$7+J3*Costs!$F$7) /($Q$9^(A3-$A$3+1))</f>
        <v>298857912.82325923</v>
      </c>
      <c r="O3" s="17">
        <f>(F3*SUM(Costs!$F$4,Costs!$F$5)+G3*SUM(Costs!$F$4,Costs!$F$5,$W27)+H3*Costs!$F$7+I3*Costs!$F$7+J3*Costs!$F$7) /($Q$9^(A3-$A$3+1))</f>
        <v>298857912.82325923</v>
      </c>
      <c r="Q3" s="38">
        <v>1508</v>
      </c>
      <c r="R3" s="5" t="s">
        <v>9</v>
      </c>
      <c r="V3" s="18"/>
    </row>
    <row r="4" spans="1:27" x14ac:dyDescent="0.25">
      <c r="A4" s="14">
        <v>2020</v>
      </c>
      <c r="B4" s="15">
        <v>224636.84414383513</v>
      </c>
      <c r="C4" s="16">
        <v>60054.512511952242</v>
      </c>
      <c r="D4" s="16">
        <v>96911.195558730935</v>
      </c>
      <c r="E4" s="16">
        <v>182401.14724954573</v>
      </c>
      <c r="F4" s="16">
        <v>1153847.6770542718</v>
      </c>
      <c r="G4" s="16">
        <v>0</v>
      </c>
      <c r="H4" s="16">
        <v>150439.86637002556</v>
      </c>
      <c r="I4" s="16">
        <v>79785.176830780299</v>
      </c>
      <c r="J4" s="16">
        <v>49910.322654655611</v>
      </c>
      <c r="K4" s="17">
        <f>SUM(B$3:B4)</f>
        <v>447063.99472391052</v>
      </c>
      <c r="L4" s="17">
        <f t="shared" ref="L4:L12" si="1">SUM(E4,K4)</f>
        <v>629465.14197345625</v>
      </c>
      <c r="M4" s="17">
        <f t="shared" si="0"/>
        <v>593331.26776647777</v>
      </c>
      <c r="N4" s="17">
        <f>(F4*SUM(Costs!$F$4,Costs!$F$5)+G4*SUM(Costs!$F$4,Costs!$F$5,$W26)+H4*Costs!$F$7+I4*Costs!$F$7+J4*Costs!$F$7) /($Q$9^(A4-$A$3+1))</f>
        <v>294039169.94831991</v>
      </c>
      <c r="O4" s="17">
        <f>(F4*SUM(Costs!$F$4,Costs!$F$5)+G4*SUM(Costs!$F$4,Costs!$F$5,$W27)+H4*Costs!$F$7+I4*Costs!$F$7+J4*Costs!$F$7) /($Q$9^(A4-$A$3+1))</f>
        <v>294039169.94831991</v>
      </c>
    </row>
    <row r="5" spans="1:27" x14ac:dyDescent="0.25">
      <c r="A5" s="14">
        <v>2021</v>
      </c>
      <c r="B5" s="15">
        <v>227654.00226950881</v>
      </c>
      <c r="C5" s="16">
        <v>59951.569440349762</v>
      </c>
      <c r="D5" s="16">
        <v>97376.797853823184</v>
      </c>
      <c r="E5" s="16">
        <v>182675.37372547391</v>
      </c>
      <c r="F5" s="16">
        <v>1166495.4701734013</v>
      </c>
      <c r="G5" s="16">
        <v>0</v>
      </c>
      <c r="H5" s="16">
        <v>154041.19335352085</v>
      </c>
      <c r="I5" s="16">
        <v>79946.641319605013</v>
      </c>
      <c r="J5" s="16">
        <v>49099.230309929066</v>
      </c>
      <c r="K5" s="17">
        <f>SUM(B$3:B5)</f>
        <v>674717.99699341937</v>
      </c>
      <c r="L5" s="17">
        <f t="shared" si="1"/>
        <v>857393.37071889325</v>
      </c>
      <c r="M5" s="17">
        <f t="shared" si="0"/>
        <v>784636.39199808671</v>
      </c>
      <c r="N5" s="17">
        <f>(F5*SUM(Costs!$F$4,Costs!$F$5)+G5*SUM(Costs!$F$4,Costs!$F$5,$W26)+H5*Costs!$F$7+I5*Costs!$F$7+J5*Costs!$F$7) /($Q$9^(A5-$A$3+1))</f>
        <v>288587218.39215147</v>
      </c>
      <c r="O5" s="17">
        <f>(F5*SUM(Costs!$F$4,Costs!$F$5)+G5*SUM(Costs!$F$4,Costs!$F$5,$W27)+H5*Costs!$F$7+I5*Costs!$F$7+J5*Costs!$F$7) /($Q$9^(A5-$A$3+1))</f>
        <v>288587218.39215147</v>
      </c>
      <c r="Q5" s="13" t="s">
        <v>21</v>
      </c>
    </row>
    <row r="6" spans="1:27" x14ac:dyDescent="0.25">
      <c r="A6" s="14">
        <v>2022</v>
      </c>
      <c r="B6" s="15">
        <v>230433.79311429078</v>
      </c>
      <c r="C6" s="16">
        <v>59525.896091006696</v>
      </c>
      <c r="D6" s="16">
        <v>97478.913291471064</v>
      </c>
      <c r="E6" s="16">
        <v>182575.30772049024</v>
      </c>
      <c r="F6" s="16">
        <v>1182331.1089154675</v>
      </c>
      <c r="G6" s="16">
        <v>0</v>
      </c>
      <c r="H6" s="16">
        <v>155309.85832075003</v>
      </c>
      <c r="I6" s="16">
        <v>79202.500917415193</v>
      </c>
      <c r="J6" s="16">
        <v>47723.024992810708</v>
      </c>
      <c r="K6" s="17">
        <f>SUM(B$3:B6)</f>
        <v>905151.79010771017</v>
      </c>
      <c r="L6" s="17">
        <f t="shared" si="1"/>
        <v>1087727.0978282003</v>
      </c>
      <c r="M6" s="17">
        <f t="shared" si="0"/>
        <v>966431.43808727758</v>
      </c>
      <c r="N6" s="17">
        <f>(F6*SUM(Costs!$F$4,Costs!$F$5)+G6*SUM(Costs!$F$4,Costs!$F$5,$W26)+H6*Costs!$F$7+I6*Costs!$F$7+J6*Costs!$F$7) /($Q$9^(A6-$A$3+1))</f>
        <v>283337518.04933977</v>
      </c>
      <c r="O6" s="17">
        <f>(F6*SUM(Costs!$F$4,Costs!$F$5)+G6*SUM(Costs!$F$4,Costs!$F$5,$W27)+H6*Costs!$F$7+I6*Costs!$F$7+J6*Costs!$F$7) /($Q$9^(A6-$A$3+1))</f>
        <v>283337518.04933977</v>
      </c>
      <c r="Q6" s="38">
        <v>500</v>
      </c>
    </row>
    <row r="7" spans="1:27" x14ac:dyDescent="0.25">
      <c r="A7" s="14">
        <v>2023</v>
      </c>
      <c r="B7" s="15">
        <v>233309.22831189117</v>
      </c>
      <c r="C7" s="16">
        <v>59121.142069555011</v>
      </c>
      <c r="D7" s="16">
        <v>97650.192045040778</v>
      </c>
      <c r="E7" s="16">
        <v>182498.37958009017</v>
      </c>
      <c r="F7" s="16">
        <v>1197639.1590425714</v>
      </c>
      <c r="G7" s="16">
        <v>0</v>
      </c>
      <c r="H7" s="16">
        <v>156306.66548102917</v>
      </c>
      <c r="I7" s="16">
        <v>78546.563389713629</v>
      </c>
      <c r="J7" s="16">
        <v>46379.924886061614</v>
      </c>
      <c r="K7" s="17">
        <f>SUM(B$3:B7)</f>
        <v>1138461.0184196013</v>
      </c>
      <c r="L7" s="17">
        <f t="shared" si="1"/>
        <v>1320959.3979996913</v>
      </c>
      <c r="M7" s="17">
        <f t="shared" si="0"/>
        <v>1139471.1805293509</v>
      </c>
      <c r="N7" s="17">
        <f>(F7*SUM(Costs!$F$4,Costs!$F$5)+G7*SUM(Costs!$F$4,Costs!$F$5,$W26)+H7*Costs!$F$7+I7*Costs!$F$7+J7*Costs!$F$7) /($Q$9^(A7-$A$3+1))</f>
        <v>278022759.15650994</v>
      </c>
      <c r="O7" s="17">
        <f>(F7*SUM(Costs!$F$4,Costs!$F$5)+G7*SUM(Costs!$F$4,Costs!$F$5,$W27)+H7*Costs!$F$7+I7*Costs!$F$7+J7*Costs!$F$7) /($Q$9^(A7-$A$3+1))</f>
        <v>278022759.15650994</v>
      </c>
      <c r="R7" s="20"/>
    </row>
    <row r="8" spans="1:27" x14ac:dyDescent="0.25">
      <c r="A8" s="14">
        <v>2024</v>
      </c>
      <c r="B8" s="15">
        <v>236272.55409956945</v>
      </c>
      <c r="C8" s="16">
        <v>58740.056960947833</v>
      </c>
      <c r="D8" s="16">
        <v>97898.110413116927</v>
      </c>
      <c r="E8" s="16">
        <v>182461.4076464361</v>
      </c>
      <c r="F8" s="16">
        <v>1212550.6970724014</v>
      </c>
      <c r="G8" s="16">
        <v>0</v>
      </c>
      <c r="H8" s="16">
        <v>157031.41647289114</v>
      </c>
      <c r="I8" s="16">
        <v>77972.095821490075</v>
      </c>
      <c r="J8" s="16">
        <v>45083.300327777892</v>
      </c>
      <c r="K8" s="17">
        <f>SUM(B$3:B8)</f>
        <v>1374733.5725191706</v>
      </c>
      <c r="L8" s="17">
        <f t="shared" si="1"/>
        <v>1557194.9801656066</v>
      </c>
      <c r="M8" s="17">
        <f t="shared" si="0"/>
        <v>1304126.280475511</v>
      </c>
      <c r="N8" s="17">
        <f>(F8*SUM(Costs!$F$4,Costs!$F$5)+G8*SUM(Costs!$F$4,Costs!$F$5,$W26)+H8*Costs!$F$7+I8*Costs!$F$7+J8*Costs!$F$7) /($Q$9^(A8-$A$3+1))</f>
        <v>272681232.48143309</v>
      </c>
      <c r="O8" s="17">
        <f>(F8*SUM(Costs!$F$4,Costs!$F$5)+G8*SUM(Costs!$F$4,Costs!$F$5,$W27)+H8*Costs!$F$7+I8*Costs!$F$7+J8*Costs!$F$7) /($Q$9^(A8-$A$3+1))</f>
        <v>272681232.48143309</v>
      </c>
      <c r="Q8" s="13" t="s">
        <v>6</v>
      </c>
    </row>
    <row r="9" spans="1:27" x14ac:dyDescent="0.25">
      <c r="A9" s="14">
        <v>2025</v>
      </c>
      <c r="B9" s="15">
        <v>238963.01162800196</v>
      </c>
      <c r="C9" s="16">
        <v>58027.504234901222</v>
      </c>
      <c r="D9" s="16">
        <v>97713.793534520053</v>
      </c>
      <c r="E9" s="16">
        <v>182061.67196268559</v>
      </c>
      <c r="F9" s="16">
        <v>1230827.074680273</v>
      </c>
      <c r="G9" s="16">
        <v>0</v>
      </c>
      <c r="H9" s="16">
        <v>155238.32676484974</v>
      </c>
      <c r="I9" s="16">
        <v>76433.070389219603</v>
      </c>
      <c r="J9" s="16">
        <v>43286.766914915766</v>
      </c>
      <c r="K9" s="17">
        <f>SUM(B$3:B9)</f>
        <v>1613696.5841471725</v>
      </c>
      <c r="L9" s="17">
        <f t="shared" si="1"/>
        <v>1795758.2561098582</v>
      </c>
      <c r="M9" s="17">
        <f t="shared" si="0"/>
        <v>1460115.7944676699</v>
      </c>
      <c r="N9" s="17">
        <f>(F9*SUM(Costs!$F$4,Costs!$F$5)+G9*SUM(Costs!$F$4,Costs!$F$5,$W26)+H9*Costs!$F$7+I9*Costs!$F$7+J9*Costs!$F$7) /($Q$9^(A9-$A$3+1))</f>
        <v>267548617.2605232</v>
      </c>
      <c r="O9" s="17">
        <f>(F9*SUM(Costs!$F$4,Costs!$F$5)+G9*SUM(Costs!$F$4,Costs!$F$5,$W27)+H9*Costs!$F$7+I9*Costs!$F$7+J9*Costs!$F$7) /($Q$9^(A9-$A$3+1))</f>
        <v>267548617.2605232</v>
      </c>
      <c r="Q9" s="19">
        <v>1.03</v>
      </c>
    </row>
    <row r="10" spans="1:27" x14ac:dyDescent="0.25">
      <c r="A10" s="14">
        <v>2026</v>
      </c>
      <c r="B10" s="15">
        <v>242076.1057582694</v>
      </c>
      <c r="C10" s="16">
        <v>57684.116091289026</v>
      </c>
      <c r="D10" s="16">
        <v>98050.508864099684</v>
      </c>
      <c r="E10" s="16">
        <v>182074.43854746761</v>
      </c>
      <c r="F10" s="16">
        <v>1244846.2227167224</v>
      </c>
      <c r="G10" s="16">
        <v>0</v>
      </c>
      <c r="H10" s="16">
        <v>155445.81191069633</v>
      </c>
      <c r="I10" s="16">
        <v>75950.007361178999</v>
      </c>
      <c r="J10" s="16">
        <v>42091.521114390285</v>
      </c>
      <c r="K10" s="17">
        <f>SUM(B$3:B10)</f>
        <v>1855772.6899054418</v>
      </c>
      <c r="L10" s="17">
        <f t="shared" si="1"/>
        <v>2037847.1284529094</v>
      </c>
      <c r="M10" s="17">
        <f t="shared" si="0"/>
        <v>1608695.3413208639</v>
      </c>
      <c r="N10" s="17">
        <f>(F10*SUM(Costs!$F$4,Costs!$F$5)+G10*SUM(Costs!$F$4,Costs!$F$5,$W26)+H10*Costs!$F$7+I10*Costs!$F$7+J10*Costs!$F$7) /($Q$9^(A10-$A$3+1))</f>
        <v>262150271.40301633</v>
      </c>
      <c r="O10" s="17">
        <f>(F10*SUM(Costs!$F$4,Costs!$F$5)+G10*SUM(Costs!$F$4,Costs!$F$5,$W27)+H10*Costs!$F$7+I10*Costs!$F$7+J10*Costs!$F$7) /($Q$9^(A10-$A$3+1))</f>
        <v>262150271.40301633</v>
      </c>
    </row>
    <row r="11" spans="1:27" x14ac:dyDescent="0.25">
      <c r="A11" s="14">
        <v>2027</v>
      </c>
      <c r="B11" s="15">
        <v>245614.942406188</v>
      </c>
      <c r="C11" s="16">
        <v>57718.956005991044</v>
      </c>
      <c r="D11" s="16">
        <v>98952.094527671245</v>
      </c>
      <c r="E11" s="16">
        <v>182514.96370333128</v>
      </c>
      <c r="F11" s="16">
        <v>1254700.3199468553</v>
      </c>
      <c r="G11" s="16">
        <v>0</v>
      </c>
      <c r="H11" s="16">
        <v>157791.71408494576</v>
      </c>
      <c r="I11" s="16">
        <v>76539.117868690169</v>
      </c>
      <c r="J11" s="16">
        <v>41477.271152908936</v>
      </c>
      <c r="K11" s="17">
        <f>SUM(B$3:B11)</f>
        <v>2101387.6323116301</v>
      </c>
      <c r="L11" s="17">
        <f t="shared" si="1"/>
        <v>2283902.5960149611</v>
      </c>
      <c r="M11" s="17">
        <f t="shared" si="0"/>
        <v>1750421.1646289132</v>
      </c>
      <c r="N11" s="17">
        <f>(F11*SUM(Costs!$F$4,Costs!$F$5)+G11*SUM(Costs!$F$4,Costs!$F$5,$W26)+H11*Costs!$F$7+I11*Costs!$F$7+J11*Costs!$F$7) /($Q$9^(A11-$A$3+1))</f>
        <v>256548096.77735916</v>
      </c>
      <c r="O11" s="17">
        <f>(F11*SUM(Costs!$F$4,Costs!$F$5)+G11*SUM(Costs!$F$4,Costs!$F$5,$W27)+H11*Costs!$F$7+I11*Costs!$F$7+J11*Costs!$F$7) /($Q$9^(A11-$A$3+1))</f>
        <v>256548096.77735916</v>
      </c>
    </row>
    <row r="12" spans="1:27" s="27" customFormat="1" x14ac:dyDescent="0.25">
      <c r="A12" s="23">
        <v>2028</v>
      </c>
      <c r="B12" s="24">
        <v>248868.69175439718</v>
      </c>
      <c r="C12" s="25">
        <v>57423.932102564897</v>
      </c>
      <c r="D12" s="25">
        <v>99439.274106056997</v>
      </c>
      <c r="E12" s="25">
        <v>182615.47278657256</v>
      </c>
      <c r="F12" s="25">
        <v>1268224.2725770441</v>
      </c>
      <c r="G12" s="25">
        <v>0</v>
      </c>
      <c r="H12" s="25">
        <v>157663.48348586384</v>
      </c>
      <c r="I12" s="25">
        <v>76121.881294274193</v>
      </c>
      <c r="J12" s="25">
        <v>40383.136433516229</v>
      </c>
      <c r="K12" s="26">
        <f>SUM(B$3:B12)</f>
        <v>2350256.3240660271</v>
      </c>
      <c r="L12" s="26">
        <f t="shared" si="1"/>
        <v>2532871.7968525998</v>
      </c>
      <c r="M12" s="26">
        <f t="shared" si="0"/>
        <v>1884694.4912515539</v>
      </c>
      <c r="N12" s="26">
        <f>(F12*SUM(Costs!$F$4,Costs!$F$5)+G12*SUM(Costs!$F$4,Costs!$F$5,$W26)+H12*Costs!$F$7+I12*Costs!$F$7+J12*Costs!$F$7) /($Q$9^(A12-$A$3+1))</f>
        <v>251227481.46523196</v>
      </c>
      <c r="O12" s="26">
        <f>(F12*SUM(Costs!$F$4,Costs!$F$5)+G12*SUM(Costs!$F$4,Costs!$F$5,$W27)+H12*Costs!$F$7+I12*Costs!$F$7+J12*Costs!$F$7) /($Q$9^(A12-$A$3+1))</f>
        <v>251227481.46523196</v>
      </c>
      <c r="V12" s="28"/>
    </row>
    <row r="13" spans="1:27" x14ac:dyDescent="0.25">
      <c r="A13" s="12" t="s">
        <v>0</v>
      </c>
      <c r="B13" s="6">
        <f>SUM(B3:B12)</f>
        <v>2350256.3240660271</v>
      </c>
      <c r="C13" s="6">
        <f>SUM(C3:C12)</f>
        <v>589111.05208285153</v>
      </c>
      <c r="D13" s="6">
        <f t="shared" ref="D13:O13" si="2">SUM(D3:D12)</f>
        <v>978911.47151678381</v>
      </c>
      <c r="E13" s="6">
        <f t="shared" si="2"/>
        <v>1824825.0859189574</v>
      </c>
      <c r="F13" s="6">
        <f t="shared" si="2"/>
        <v>12044811.700187558</v>
      </c>
      <c r="G13" s="6">
        <f t="shared" si="2"/>
        <v>0</v>
      </c>
      <c r="H13" s="6">
        <f t="shared" si="2"/>
        <v>1549890.5197428712</v>
      </c>
      <c r="I13" s="6">
        <f t="shared" si="2"/>
        <v>782230.93729347119</v>
      </c>
      <c r="J13" s="6">
        <f t="shared" si="2"/>
        <v>457374.97790354223</v>
      </c>
      <c r="K13" s="6">
        <f t="shared" si="2"/>
        <v>12683668.753774159</v>
      </c>
      <c r="L13" s="6">
        <f t="shared" si="2"/>
        <v>14508493.839693116</v>
      </c>
      <c r="M13" s="6">
        <f t="shared" si="2"/>
        <v>11885490.412250889</v>
      </c>
      <c r="N13" s="6">
        <f t="shared" si="2"/>
        <v>2753000277.757144</v>
      </c>
      <c r="O13" s="6">
        <f t="shared" si="2"/>
        <v>2753000277.757144</v>
      </c>
      <c r="V13" s="18"/>
    </row>
    <row r="15" spans="1:27" ht="15" x14ac:dyDescent="0.4">
      <c r="B15" s="7" t="s">
        <v>117</v>
      </c>
      <c r="C15" s="8"/>
      <c r="D15" s="8"/>
      <c r="E15" s="8"/>
      <c r="F15" s="29"/>
      <c r="G15" s="8"/>
      <c r="H15" s="29"/>
      <c r="I15" s="29"/>
      <c r="J15" s="29"/>
      <c r="K15" s="8"/>
      <c r="L15" s="8"/>
      <c r="M15" s="8"/>
      <c r="N15" s="8"/>
      <c r="O15" s="30"/>
      <c r="Q15" s="7" t="s">
        <v>15</v>
      </c>
      <c r="R15" s="8"/>
      <c r="S15" s="8"/>
      <c r="T15" s="41"/>
      <c r="U15" s="31"/>
    </row>
    <row r="16" spans="1:27" ht="26.4" customHeight="1" x14ac:dyDescent="0.25">
      <c r="A16" s="9" t="s">
        <v>16</v>
      </c>
      <c r="B16" s="10" t="s">
        <v>3</v>
      </c>
      <c r="C16" s="11" t="s">
        <v>19</v>
      </c>
      <c r="D16" s="11" t="s">
        <v>4</v>
      </c>
      <c r="E16" s="11" t="s">
        <v>1</v>
      </c>
      <c r="F16" s="11" t="s">
        <v>10</v>
      </c>
      <c r="G16" s="11" t="s">
        <v>14</v>
      </c>
      <c r="H16" s="11" t="s">
        <v>13</v>
      </c>
      <c r="I16" s="11" t="s">
        <v>11</v>
      </c>
      <c r="J16" s="11" t="s">
        <v>12</v>
      </c>
      <c r="K16" s="11" t="s">
        <v>2</v>
      </c>
      <c r="L16" s="11" t="s">
        <v>17</v>
      </c>
      <c r="M16" s="11" t="s">
        <v>18</v>
      </c>
      <c r="N16" s="40" t="s">
        <v>27</v>
      </c>
      <c r="O16" s="40" t="s">
        <v>58</v>
      </c>
      <c r="Q16" s="10" t="s">
        <v>18</v>
      </c>
      <c r="R16" s="11" t="s">
        <v>3</v>
      </c>
      <c r="S16" s="11" t="s">
        <v>4</v>
      </c>
      <c r="T16" s="40" t="s">
        <v>28</v>
      </c>
      <c r="U16" s="40" t="s">
        <v>68</v>
      </c>
    </row>
    <row r="17" spans="1:26" x14ac:dyDescent="0.25">
      <c r="A17" s="14">
        <v>2019</v>
      </c>
      <c r="B17" s="15">
        <v>219564.33231307153</v>
      </c>
      <c r="C17" s="16">
        <v>57998.258426301501</v>
      </c>
      <c r="D17" s="16">
        <v>93052.713773755531</v>
      </c>
      <c r="E17" s="16">
        <v>179172.29383232948</v>
      </c>
      <c r="F17" s="16">
        <v>1022057.5652372966</v>
      </c>
      <c r="G17" s="16">
        <v>110832.0801991171</v>
      </c>
      <c r="H17" s="16">
        <v>150401.70945383207</v>
      </c>
      <c r="I17" s="16">
        <v>81720.255566170657</v>
      </c>
      <c r="J17" s="16">
        <v>51935.779218647993</v>
      </c>
      <c r="K17" s="17">
        <f>SUM(B$17:B17)</f>
        <v>219564.33231307153</v>
      </c>
      <c r="L17" s="17">
        <f>SUM(E17,K17)</f>
        <v>398736.62614540104</v>
      </c>
      <c r="M17" s="17">
        <f t="shared" ref="M17:M26" si="3">L17/($Q$9^(A17-$A$3+1))</f>
        <v>387122.93800524372</v>
      </c>
      <c r="N17" s="17">
        <f>(F17*SUM(Costs!$F$4,Costs!$F$5)+G17*SUM(Costs!$F$4,Costs!$F$5,$W26)+H17*Costs!$F$7+I17*Costs!$F$7+J17*Costs!$F$7) /($Q$9^(A17-$A$3+1))</f>
        <v>311027855.7383495</v>
      </c>
      <c r="O17" s="17">
        <f>(F17*SUM(Costs!$F$4,Costs!$F$5)+G17*SUM(Costs!$F$4,Costs!$F$5,$W27)+H17*Costs!$F$7+I17*Costs!$F$7+J17*Costs!$F$7) /($Q$9^(A17-$A$3+1))</f>
        <v>331017842.69350642</v>
      </c>
      <c r="Q17" s="32">
        <f>M$3-M17</f>
        <v>6444.1237199401949</v>
      </c>
      <c r="R17" s="27">
        <f>B$3-B17</f>
        <v>2862.8182670038659</v>
      </c>
      <c r="S17" s="27">
        <f>D$3-D17</f>
        <v>4387.8775484973303</v>
      </c>
      <c r="T17" s="27"/>
      <c r="U17" s="33"/>
      <c r="W17" s="55"/>
    </row>
    <row r="18" spans="1:26" x14ac:dyDescent="0.25">
      <c r="A18" s="14">
        <v>2020</v>
      </c>
      <c r="B18" s="15">
        <v>221841.62208269309</v>
      </c>
      <c r="C18" s="16">
        <v>57251.017854011938</v>
      </c>
      <c r="D18" s="16">
        <v>92368.15627139296</v>
      </c>
      <c r="E18" s="16">
        <v>178635.95007592477</v>
      </c>
      <c r="F18" s="16">
        <v>1043763.9080771797</v>
      </c>
      <c r="G18" s="16">
        <v>108494.2824742393</v>
      </c>
      <c r="H18" s="16">
        <v>149778.09915417765</v>
      </c>
      <c r="I18" s="16">
        <v>79728.814460558206</v>
      </c>
      <c r="J18" s="16">
        <v>49894.792614691047</v>
      </c>
      <c r="K18" s="17">
        <f>SUM(B$17:B18)</f>
        <v>441405.95439576462</v>
      </c>
      <c r="L18" s="17">
        <f>SUM(E18,K18)</f>
        <v>620041.90447168937</v>
      </c>
      <c r="M18" s="17">
        <f t="shared" si="3"/>
        <v>584448.96264651651</v>
      </c>
      <c r="N18" s="17">
        <f>(F18*SUM(Costs!$F$4,Costs!$F$5)+G18*SUM(Costs!$F$4,Costs!$F$5,$W26)+H18*Costs!$F$7+I18*Costs!$F$7+J18*Costs!$F$7) /($Q$9^(A18-$A$3+1))</f>
        <v>305282437.60795933</v>
      </c>
      <c r="O18" s="17">
        <f>(F18*SUM(Costs!$F$4,Costs!$F$5)+G18*SUM(Costs!$F$4,Costs!$F$5,$W27)+H18*Costs!$F$7+I18*Costs!$F$7+J18*Costs!$F$7) /($Q$9^(A18-$A$3+1))</f>
        <v>324280821.25452769</v>
      </c>
      <c r="Q18" s="32">
        <f>M$4-M18</f>
        <v>8882.3051199612673</v>
      </c>
      <c r="R18" s="27">
        <f>B$4-B18</f>
        <v>2795.2220611420344</v>
      </c>
      <c r="S18" s="27">
        <f>D$4-D18</f>
        <v>4543.0392873379751</v>
      </c>
      <c r="T18" s="27"/>
      <c r="U18" s="33"/>
    </row>
    <row r="19" spans="1:26" x14ac:dyDescent="0.25">
      <c r="A19" s="14">
        <v>2021</v>
      </c>
      <c r="B19" s="15">
        <v>224939.47378122047</v>
      </c>
      <c r="C19" s="16">
        <v>57221.21856675356</v>
      </c>
      <c r="D19" s="16">
        <v>92689.549434649918</v>
      </c>
      <c r="E19" s="16">
        <v>178906.95294728843</v>
      </c>
      <c r="F19" s="16">
        <v>1058221.0995196502</v>
      </c>
      <c r="G19" s="16">
        <v>105367.28758063489</v>
      </c>
      <c r="H19" s="16">
        <v>152963.91588504059</v>
      </c>
      <c r="I19" s="16">
        <v>79815.688676556863</v>
      </c>
      <c r="J19" s="16">
        <v>49069.208500956651</v>
      </c>
      <c r="K19" s="17">
        <f>SUM(B$17:B19)</f>
        <v>666345.42817698512</v>
      </c>
      <c r="L19" s="17">
        <f t="shared" ref="L19:L26" si="4">SUM(E19,K19)</f>
        <v>845252.38112427352</v>
      </c>
      <c r="M19" s="17">
        <f t="shared" si="3"/>
        <v>773525.66663427697</v>
      </c>
      <c r="N19" s="17">
        <f>(F19*SUM(Costs!$F$4,Costs!$F$5)+G19*SUM(Costs!$F$4,Costs!$F$5,$W26)+H19*Costs!$F$7+I19*Costs!$F$7+J19*Costs!$F$7) /($Q$9^(A19-$A$3+1))</f>
        <v>298823401.07709908</v>
      </c>
      <c r="O19" s="17">
        <f>(F19*SUM(Costs!$F$4,Costs!$F$5)+G19*SUM(Costs!$F$4,Costs!$F$5,$W27)+H19*Costs!$F$7+I19*Costs!$F$7+J19*Costs!$F$7) /($Q$9^(A19-$A$3+1))</f>
        <v>316736815.65610486</v>
      </c>
      <c r="Q19" s="32">
        <f>M$5-M19</f>
        <v>11110.725363809732</v>
      </c>
      <c r="R19" s="27">
        <f>B$5-B19</f>
        <v>2714.5284882883425</v>
      </c>
      <c r="S19" s="27">
        <f>D$5-D19</f>
        <v>4687.2484191732656</v>
      </c>
      <c r="T19" s="27"/>
      <c r="U19" s="33"/>
    </row>
    <row r="20" spans="1:26" x14ac:dyDescent="0.25">
      <c r="A20" s="14">
        <v>2022</v>
      </c>
      <c r="B20" s="15">
        <v>227785.16180495027</v>
      </c>
      <c r="C20" s="16">
        <v>56852.589726349761</v>
      </c>
      <c r="D20" s="16">
        <v>92585.444184852415</v>
      </c>
      <c r="E20" s="16">
        <v>178752.67912700051</v>
      </c>
      <c r="F20" s="16">
        <v>1075343.4296916283</v>
      </c>
      <c r="G20" s="16">
        <v>102543.29141624233</v>
      </c>
      <c r="H20" s="16">
        <v>153842.49583033565</v>
      </c>
      <c r="I20" s="16">
        <v>78963.400374532182</v>
      </c>
      <c r="J20" s="16">
        <v>47675.210899685</v>
      </c>
      <c r="K20" s="17">
        <f>SUM(B$17:B20)</f>
        <v>894130.58998193545</v>
      </c>
      <c r="L20" s="17">
        <f t="shared" si="4"/>
        <v>1072883.269108936</v>
      </c>
      <c r="M20" s="17">
        <f t="shared" si="3"/>
        <v>953242.88852873223</v>
      </c>
      <c r="N20" s="17">
        <f>(F20*SUM(Costs!$F$4,Costs!$F$5)+G20*SUM(Costs!$F$4,Costs!$F$5,$W26)+H20*Costs!$F$7+I20*Costs!$F$7+J20*Costs!$F$7) /($Q$9^(A20-$A$3+1))</f>
        <v>292599548.41728657</v>
      </c>
      <c r="O20" s="17">
        <f>(F20*SUM(Costs!$F$4,Costs!$F$5)+G20*SUM(Costs!$F$4,Costs!$F$5,$W27)+H20*Costs!$F$7+I20*Costs!$F$7+J20*Costs!$F$7) /($Q$9^(A20-$A$3+1))</f>
        <v>309525091.21451342</v>
      </c>
      <c r="Q20" s="32">
        <f>M$6-M20</f>
        <v>13188.549558545346</v>
      </c>
      <c r="R20" s="27">
        <f>B$6-B20</f>
        <v>2648.6313093405042</v>
      </c>
      <c r="S20" s="27">
        <f>D$6-D20</f>
        <v>4893.4691066186497</v>
      </c>
      <c r="T20" s="27"/>
      <c r="U20" s="33"/>
      <c r="X20" s="47"/>
      <c r="Y20" s="34"/>
      <c r="Z20" s="34"/>
    </row>
    <row r="21" spans="1:26" x14ac:dyDescent="0.25">
      <c r="A21" s="14">
        <v>2023</v>
      </c>
      <c r="B21" s="15">
        <v>230715.43388084063</v>
      </c>
      <c r="C21" s="16">
        <v>56492.720738309137</v>
      </c>
      <c r="D21" s="16">
        <v>92511.410297798488</v>
      </c>
      <c r="E21" s="16">
        <v>178576.09029280191</v>
      </c>
      <c r="F21" s="16">
        <v>1091717.5425708308</v>
      </c>
      <c r="G21" s="16">
        <v>99700.288021584027</v>
      </c>
      <c r="H21" s="16">
        <v>154461.58009035006</v>
      </c>
      <c r="I21" s="16">
        <v>78163.362300400069</v>
      </c>
      <c r="J21" s="16">
        <v>46308.214229530546</v>
      </c>
      <c r="K21" s="17">
        <f>SUM(B$17:B21)</f>
        <v>1124846.0238627761</v>
      </c>
      <c r="L21" s="17">
        <f t="shared" si="4"/>
        <v>1303422.114155578</v>
      </c>
      <c r="M21" s="17">
        <f t="shared" si="3"/>
        <v>1124343.3654311802</v>
      </c>
      <c r="N21" s="17">
        <f>(F21*SUM(Costs!$F$4,Costs!$F$5)+G21*SUM(Costs!$F$4,Costs!$F$5,$W26)+H21*Costs!$F$7+I21*Costs!$F$7+J21*Costs!$F$7) /($Q$9^(A21-$A$3+1))</f>
        <v>286304755.4978807</v>
      </c>
      <c r="O21" s="17">
        <f>(F21*SUM(Costs!$F$4,Costs!$F$5)+G21*SUM(Costs!$F$4,Costs!$F$5,$W27)+H21*Costs!$F$7+I21*Costs!$F$7+J21*Costs!$F$7) /($Q$9^(A21-$A$3+1))</f>
        <v>302281729.93291819</v>
      </c>
      <c r="Q21" s="32">
        <f>M$7-M21</f>
        <v>15127.815098170657</v>
      </c>
      <c r="R21" s="27">
        <f>B$7-B21</f>
        <v>2593.7944310505409</v>
      </c>
      <c r="S21" s="27">
        <f>D$7-D21</f>
        <v>5138.7817472422903</v>
      </c>
      <c r="T21" s="27"/>
      <c r="U21" s="33"/>
      <c r="X21" s="47"/>
      <c r="Y21" s="34"/>
      <c r="Z21" s="34"/>
    </row>
    <row r="22" spans="1:26" x14ac:dyDescent="0.25">
      <c r="A22" s="14">
        <v>2024</v>
      </c>
      <c r="B22" s="15">
        <v>233719.93378898685</v>
      </c>
      <c r="C22" s="16">
        <v>56141.929706722098</v>
      </c>
      <c r="D22" s="16">
        <v>92483.513983266384</v>
      </c>
      <c r="E22" s="16">
        <v>178392.16658155847</v>
      </c>
      <c r="F22" s="16">
        <v>1107400.9338443745</v>
      </c>
      <c r="G22" s="16">
        <v>96891.347058969957</v>
      </c>
      <c r="H22" s="16">
        <v>154819.10663355244</v>
      </c>
      <c r="I22" s="16">
        <v>77413.559705464417</v>
      </c>
      <c r="J22" s="16">
        <v>44980.094683625619</v>
      </c>
      <c r="K22" s="17">
        <f>SUM(B$17:B22)</f>
        <v>1358565.957651763</v>
      </c>
      <c r="L22" s="17">
        <f t="shared" si="4"/>
        <v>1536958.1242333215</v>
      </c>
      <c r="M22" s="17">
        <f t="shared" si="3"/>
        <v>1287178.232227447</v>
      </c>
      <c r="N22" s="17">
        <f>(F22*SUM(Costs!$F$4,Costs!$F$5)+G22*SUM(Costs!$F$4,Costs!$F$5,$W26)+H22*Costs!$F$7+I22*Costs!$F$7+J22*Costs!$F$7) /($Q$9^(A22-$A$3+1))</f>
        <v>279981318.41533327</v>
      </c>
      <c r="O22" s="17">
        <f>(F22*SUM(Costs!$F$4,Costs!$F$5)+G22*SUM(Costs!$F$4,Costs!$F$5,$W27)+H22*Costs!$F$7+I22*Costs!$F$7+J22*Costs!$F$7) /($Q$9^(A22-$A$3+1))</f>
        <v>295055921.86521703</v>
      </c>
      <c r="Q22" s="32">
        <f>M$8-M22</f>
        <v>16948.048248064006</v>
      </c>
      <c r="R22" s="27">
        <f>B$8-B22</f>
        <v>2552.6203105825989</v>
      </c>
      <c r="S22" s="27">
        <f>D$8-D22</f>
        <v>5414.5964298505423</v>
      </c>
      <c r="T22" s="27"/>
      <c r="U22" s="33"/>
      <c r="X22" s="47"/>
      <c r="Y22" s="34"/>
      <c r="Z22" s="34"/>
    </row>
    <row r="23" spans="1:26" x14ac:dyDescent="0.25">
      <c r="A23" s="14">
        <v>2025</v>
      </c>
      <c r="B23" s="15">
        <v>236431.34746719335</v>
      </c>
      <c r="C23" s="16">
        <v>55438.6423207931</v>
      </c>
      <c r="D23" s="16">
        <v>91993.71302988824</v>
      </c>
      <c r="E23" s="16">
        <v>177792.28783787298</v>
      </c>
      <c r="F23" s="16">
        <v>1125805.4928245668</v>
      </c>
      <c r="G23" s="16">
        <v>94424.872346185701</v>
      </c>
      <c r="H23" s="16">
        <v>152678.96912675316</v>
      </c>
      <c r="I23" s="16">
        <v>75685.172009663744</v>
      </c>
      <c r="J23" s="16">
        <v>43146.318112742621</v>
      </c>
      <c r="K23" s="17">
        <f>SUM(B$17:B23)</f>
        <v>1594997.3051189564</v>
      </c>
      <c r="L23" s="17">
        <f t="shared" si="4"/>
        <v>1772789.5929568294</v>
      </c>
      <c r="M23" s="17">
        <f t="shared" si="3"/>
        <v>1441440.1694310373</v>
      </c>
      <c r="N23" s="17">
        <f>(F23*SUM(Costs!$F$4,Costs!$F$5)+G23*SUM(Costs!$F$4,Costs!$F$5,$W26)+H23*Costs!$F$7+I23*Costs!$F$7+J23*Costs!$F$7) /($Q$9^(A23-$A$3+1))</f>
        <v>273891894.67145675</v>
      </c>
      <c r="O23" s="17">
        <f>(F23*SUM(Costs!$F$4,Costs!$F$5)+G23*SUM(Costs!$F$4,Costs!$F$5,$W27)+H23*Costs!$F$7+I23*Costs!$F$7+J23*Costs!$F$7) /($Q$9^(A23-$A$3+1))</f>
        <v>288154868.46684128</v>
      </c>
      <c r="Q23" s="32">
        <f>M$9-M23</f>
        <v>18675.625036632642</v>
      </c>
      <c r="R23" s="27">
        <f>B$9-B23</f>
        <v>2531.6641608086065</v>
      </c>
      <c r="S23" s="27">
        <f>D$9-D23</f>
        <v>5720.0805046318128</v>
      </c>
      <c r="T23" s="27"/>
      <c r="U23" s="33"/>
    </row>
    <row r="24" spans="1:26" ht="13.8" thickBot="1" x14ac:dyDescent="0.3">
      <c r="A24" s="14">
        <v>2026</v>
      </c>
      <c r="B24" s="15">
        <v>239554.2814209403</v>
      </c>
      <c r="C24" s="16">
        <v>55092.676884433669</v>
      </c>
      <c r="D24" s="16">
        <v>92006.798856500594</v>
      </c>
      <c r="E24" s="16">
        <v>177563.37426014952</v>
      </c>
      <c r="F24" s="16">
        <v>1139930.423229015</v>
      </c>
      <c r="G24" s="16">
        <v>91731.167052243778</v>
      </c>
      <c r="H24" s="16">
        <v>152525.07719042385</v>
      </c>
      <c r="I24" s="16">
        <v>74984.262322798473</v>
      </c>
      <c r="J24" s="16">
        <v>41900.367637188872</v>
      </c>
      <c r="K24" s="17">
        <f>SUM(B$17:B24)</f>
        <v>1834551.5865398967</v>
      </c>
      <c r="L24" s="17">
        <f t="shared" si="4"/>
        <v>2012114.9608000461</v>
      </c>
      <c r="M24" s="17">
        <f t="shared" si="3"/>
        <v>1588382.1305567792</v>
      </c>
      <c r="N24" s="17">
        <f>(F24*SUM(Costs!$F$4,Costs!$F$5)+G24*SUM(Costs!$F$4,Costs!$F$5,$W26)+H24*Costs!$F$7+I24*Costs!$F$7+J24*Costs!$F$7) /($Q$9^(A24-$A$3+1))</f>
        <v>267513018.23595431</v>
      </c>
      <c r="O24" s="17">
        <f>(F24*SUM(Costs!$F$4,Costs!$F$5)+G24*SUM(Costs!$F$4,Costs!$F$5,$W27)+H24*Costs!$F$7+I24*Costs!$F$7+J24*Costs!$F$7) /($Q$9^(A24-$A$3+1))</f>
        <v>280965529.73934126</v>
      </c>
      <c r="Q24" s="32">
        <f>M$10-M24</f>
        <v>20313.21076408471</v>
      </c>
      <c r="R24" s="27">
        <f>B$10-B24</f>
        <v>2521.8243373291043</v>
      </c>
      <c r="S24" s="27">
        <f>D$10-D24</f>
        <v>6043.7100075990893</v>
      </c>
      <c r="T24" s="27"/>
      <c r="U24" s="33"/>
    </row>
    <row r="25" spans="1:26" x14ac:dyDescent="0.25">
      <c r="A25" s="14">
        <v>2027</v>
      </c>
      <c r="B25" s="15">
        <v>243088.64922472119</v>
      </c>
      <c r="C25" s="16">
        <v>55109.958644116457</v>
      </c>
      <c r="D25" s="16">
        <v>92557.628603196819</v>
      </c>
      <c r="E25" s="16">
        <v>177716.74066025199</v>
      </c>
      <c r="F25" s="16">
        <v>1149796.0941659992</v>
      </c>
      <c r="G25" s="16">
        <v>88893.204211306671</v>
      </c>
      <c r="H25" s="16">
        <v>154482.11941650783</v>
      </c>
      <c r="I25" s="16">
        <v>75324.18512817513</v>
      </c>
      <c r="J25" s="16">
        <v>41218.783980708133</v>
      </c>
      <c r="K25" s="17">
        <f>SUM(B$17:B25)</f>
        <v>2077640.2357646178</v>
      </c>
      <c r="L25" s="17">
        <f t="shared" si="4"/>
        <v>2255356.9764248696</v>
      </c>
      <c r="M25" s="17">
        <f t="shared" si="3"/>
        <v>1728543.324139951</v>
      </c>
      <c r="N25" s="17">
        <f>(F25*SUM(Costs!$F$4,Costs!$F$5)+G25*SUM(Costs!$F$4,Costs!$F$5,$W26)+H25*Costs!$F$7+I25*Costs!$F$7+J25*Costs!$F$7) /($Q$9^(A25-$A$3+1))</f>
        <v>260917901.09292722</v>
      </c>
      <c r="O25" s="17">
        <f>(F25*SUM(Costs!$F$4,Costs!$F$5)+G25*SUM(Costs!$F$4,Costs!$F$5,$W27)+H25*Costs!$F$7+I25*Costs!$F$7+J25*Costs!$F$7) /($Q$9^(A25-$A$3+1))</f>
        <v>273574522.50040275</v>
      </c>
      <c r="Q25" s="32">
        <f>M$11-M25</f>
        <v>21877.840488962131</v>
      </c>
      <c r="R25" s="27">
        <f>B$11-B25</f>
        <v>2526.2931814668118</v>
      </c>
      <c r="S25" s="27">
        <f>D$11-D25</f>
        <v>6394.4659244744253</v>
      </c>
      <c r="T25" s="27"/>
      <c r="U25" s="33"/>
      <c r="W25" s="21" t="s">
        <v>25</v>
      </c>
      <c r="X25" s="48" t="s">
        <v>29</v>
      </c>
    </row>
    <row r="26" spans="1:26" ht="13.8" thickBot="1" x14ac:dyDescent="0.3">
      <c r="A26" s="23">
        <v>2028</v>
      </c>
      <c r="B26" s="24">
        <v>246317.18030897918</v>
      </c>
      <c r="C26" s="25">
        <v>54775.972949462725</v>
      </c>
      <c r="D26" s="25">
        <v>92664.875483293421</v>
      </c>
      <c r="E26" s="25">
        <v>177479.35367685699</v>
      </c>
      <c r="F26" s="25">
        <v>1162559.7666900249</v>
      </c>
      <c r="G26" s="25">
        <v>86488.078912806479</v>
      </c>
      <c r="H26" s="25">
        <v>153978.87498702525</v>
      </c>
      <c r="I26" s="25">
        <v>74665.878538924997</v>
      </c>
      <c r="J26" s="25">
        <v>40050.772821358762</v>
      </c>
      <c r="K26" s="26">
        <f>SUM(B$17:B26)</f>
        <v>2323957.416073597</v>
      </c>
      <c r="L26" s="26">
        <f t="shared" si="4"/>
        <v>2501436.769750454</v>
      </c>
      <c r="M26" s="26">
        <f t="shared" si="3"/>
        <v>1861303.8788702334</v>
      </c>
      <c r="N26" s="26">
        <f>(F26*SUM(Costs!$F$4,Costs!$F$5)+G26*SUM(Costs!$F$4,Costs!$F$5,$W26)+H26*Costs!$F$7+I26*Costs!$F$7+J26*Costs!$F$7) /($Q$9^(A26-$A$3+1))</f>
        <v>254637574.89264202</v>
      </c>
      <c r="O26" s="26">
        <f>(F26*SUM(Costs!$F$4,Costs!$F$5)+G26*SUM(Costs!$F$4,Costs!$F$5,$W27)+H26*Costs!$F$7+I26*Costs!$F$7+J26*Costs!$F$7) /($Q$9^(A26-$A$3+1))</f>
        <v>266593088.94924456</v>
      </c>
      <c r="Q26" s="35">
        <f>M$12-M26</f>
        <v>23390.612381320447</v>
      </c>
      <c r="R26" s="27">
        <f>B$12-B26</f>
        <v>2551.5114454180002</v>
      </c>
      <c r="S26" s="27">
        <f>D$12-D26</f>
        <v>6774.398622763576</v>
      </c>
      <c r="T26" s="42"/>
      <c r="U26" s="36"/>
      <c r="W26" s="43">
        <v>114.39971880431841</v>
      </c>
      <c r="X26" s="49">
        <f>$Q$6</f>
        <v>500</v>
      </c>
      <c r="Y26" s="22" t="s">
        <v>60</v>
      </c>
    </row>
    <row r="27" spans="1:26" ht="13.8" thickBot="1" x14ac:dyDescent="0.3">
      <c r="A27" s="12" t="s">
        <v>0</v>
      </c>
      <c r="B27" s="6">
        <f t="shared" ref="B27:O27" si="5">SUM(B17:B26)</f>
        <v>2323957.416073597</v>
      </c>
      <c r="C27" s="6">
        <f>SUM(C17:C26)</f>
        <v>562374.98581725394</v>
      </c>
      <c r="D27" s="6">
        <f t="shared" si="5"/>
        <v>924913.80391859473</v>
      </c>
      <c r="E27" s="6">
        <f t="shared" si="5"/>
        <v>1782987.889292035</v>
      </c>
      <c r="F27" s="6">
        <f t="shared" si="5"/>
        <v>10976596.255850567</v>
      </c>
      <c r="G27" s="6">
        <f t="shared" si="5"/>
        <v>985365.89927333023</v>
      </c>
      <c r="H27" s="6">
        <f t="shared" si="5"/>
        <v>1529931.9477679986</v>
      </c>
      <c r="I27" s="6">
        <f t="shared" si="5"/>
        <v>776464.57908324478</v>
      </c>
      <c r="J27" s="6">
        <f t="shared" si="5"/>
        <v>456179.54269913526</v>
      </c>
      <c r="K27" s="6">
        <f t="shared" si="5"/>
        <v>12536004.829879362</v>
      </c>
      <c r="L27" s="6">
        <f t="shared" si="5"/>
        <v>14318992.719171397</v>
      </c>
      <c r="M27" s="6">
        <f t="shared" si="5"/>
        <v>11729531.556471398</v>
      </c>
      <c r="N27" s="6">
        <f t="shared" si="5"/>
        <v>2830979705.6468887</v>
      </c>
      <c r="O27" s="6">
        <f t="shared" si="5"/>
        <v>2988186232.2726173</v>
      </c>
      <c r="Q27" s="6">
        <f>SUM(Q17:Q26)</f>
        <v>155958.85577949113</v>
      </c>
      <c r="R27" s="37">
        <f>SUM(R17:R26)</f>
        <v>26298.90799243041</v>
      </c>
      <c r="S27" s="37">
        <f>SUM(S17:S26)</f>
        <v>53997.667598188957</v>
      </c>
      <c r="T27" s="18">
        <f>(N27-N$13)/Q27</f>
        <v>499.99999999999483</v>
      </c>
      <c r="U27" s="18">
        <f>(O27-O$13)/Q27</f>
        <v>1508.0000000000048</v>
      </c>
      <c r="W27" s="44">
        <v>300.17342734448948</v>
      </c>
      <c r="X27" s="50">
        <f>$Q$3</f>
        <v>1508</v>
      </c>
      <c r="Y27" s="22" t="s">
        <v>61</v>
      </c>
    </row>
  </sheetData>
  <pageMargins left="0.7" right="0.7" top="0.75" bottom="0.75" header="0.3" footer="0.3"/>
  <pageSetup scale="53"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Tables</vt:lpstr>
      <vt:lpstr>Figures</vt:lpstr>
      <vt:lpstr>Costs</vt:lpstr>
      <vt:lpstr>CEA</vt:lpstr>
      <vt:lpstr>Sens 20 year</vt:lpstr>
      <vt:lpstr>Sens AYA dropout low</vt:lpstr>
      <vt:lpstr>Sens AYA dropout high</vt:lpstr>
      <vt:lpstr>Sens pop dropout low</vt:lpstr>
      <vt:lpstr>Sens pop dropout high</vt:lpstr>
      <vt:lpstr>Sens ART High</vt:lpstr>
      <vt:lpstr>Sens ART Low</vt:lpstr>
      <vt:lpstr>Sens partners low</vt:lpstr>
      <vt:lpstr>Sens partners high</vt:lpstr>
      <vt:lpstr>Sens $60 Oral</vt:lpstr>
      <vt:lpstr>Sens $90 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Jessica Culhane</cp:lastModifiedBy>
  <cp:lastPrinted>2018-09-23T05:10:19Z</cp:lastPrinted>
  <dcterms:created xsi:type="dcterms:W3CDTF">2018-07-02T20:09:41Z</dcterms:created>
  <dcterms:modified xsi:type="dcterms:W3CDTF">2019-11-14T05:55:44Z</dcterms:modified>
</cp:coreProperties>
</file>